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DIZ\"/>
    </mc:Choice>
  </mc:AlternateContent>
  <workbookProtection workbookAlgorithmName="SHA-512" workbookHashValue="uY1V+x7/WIbS2d85OiyR5/Fr9orBquVqRB/Xn44ByrhsT7PTTzDHDjqcGztl/Sft2U1cK7vnR7VkjD5y965xZw==" workbookSaltValue="Cx7jCH0heDV1rh/QKHuge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BH17" i="16" s="1"/>
  <c r="EP19" i="8"/>
  <c r="ER19" i="13"/>
  <c r="AL13" i="16"/>
  <c r="AJ13" i="16"/>
  <c r="EP19" i="19"/>
  <c r="BH11" i="16"/>
  <c r="BM16" i="11"/>
  <c r="BF10" i="11"/>
  <c r="S13" i="16"/>
  <c r="P13" i="16"/>
  <c r="AM13" i="20"/>
  <c r="K18" i="2"/>
  <c r="M13" i="2"/>
  <c r="M18" i="2"/>
  <c r="N13" i="2"/>
  <c r="N18" i="2"/>
  <c r="T13" i="12"/>
  <c r="BM12" i="11"/>
  <c r="BJ12" i="11"/>
  <c r="BK17" i="11"/>
  <c r="BU11" i="17"/>
  <c r="BW12" i="20"/>
  <c r="BW10" i="20"/>
  <c r="T13" i="16"/>
  <c r="AZ12" i="11"/>
  <c r="BG12" i="11"/>
  <c r="BH10" i="11"/>
  <c r="AQ10" i="21"/>
  <c r="BH10" i="16"/>
  <c r="BM17" i="11"/>
  <c r="BH16" i="11"/>
  <c r="BJ16" i="11"/>
  <c r="T13" i="20"/>
  <c r="BF15" i="8"/>
  <c r="BF9" i="8"/>
  <c r="AU18" i="21"/>
  <c r="AH13" i="16"/>
  <c r="L16" i="2"/>
  <c r="U9" i="17"/>
  <c r="U19" i="17" s="1"/>
  <c r="AP13" i="16"/>
  <c r="V9" i="16"/>
  <c r="T18" i="17"/>
  <c r="BG15" i="13"/>
  <c r="BE16" i="13"/>
  <c r="BE15" i="13"/>
  <c r="AX20" i="20"/>
  <c r="S19" i="8" l="1"/>
  <c r="BG10" i="8"/>
  <c r="AL16" i="11"/>
  <c r="C16" i="6"/>
  <c r="BE9" i="13"/>
  <c r="BU16" i="17"/>
  <c r="BW11" i="20"/>
  <c r="BU10" i="17"/>
  <c r="AP17" i="20"/>
  <c r="BG15" i="11"/>
  <c r="BI15" i="11"/>
  <c r="V11" i="11"/>
  <c r="BL17"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P18" i="17" s="1"/>
  <c r="P19" i="17" s="1"/>
  <c r="BG10" i="11"/>
  <c r="BL9" i="11"/>
  <c r="BF11" i="11"/>
  <c r="T9" i="1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I11" i="12"/>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O13" i="17" l="1"/>
  <c r="AL13" i="11"/>
  <c r="B13" i="6"/>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BR20" i="16"/>
  <c r="H20" i="17"/>
  <c r="AW20" i="11"/>
  <c r="AX20" i="2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1"/>
  <c r="BG20" i="16"/>
  <c r="AX20" i="16"/>
  <c r="W20" i="16"/>
  <c r="AY20" i="11"/>
  <c r="AA20" i="17"/>
  <c r="AC20" i="16"/>
  <c r="AV20" i="16"/>
  <c r="AK20" i="21"/>
  <c r="AN20" i="11"/>
  <c r="Y20" i="11"/>
  <c r="AH20" i="17"/>
  <c r="X20" i="11"/>
  <c r="F20" i="11"/>
  <c r="R20" i="11"/>
  <c r="AH20" i="21"/>
  <c r="AE20" i="16"/>
  <c r="Z20" i="16"/>
  <c r="P20" i="16"/>
  <c r="BB20" i="16"/>
  <c r="AM20" i="17"/>
  <c r="U20" i="20"/>
  <c r="Y20" i="17"/>
  <c r="AM20" i="11"/>
  <c r="I20" i="17"/>
  <c r="N20" i="17"/>
  <c r="BQ20" i="16"/>
  <c r="E20" i="12"/>
  <c r="AA20" i="16"/>
  <c r="AW20" i="16"/>
  <c r="BO20" i="16"/>
  <c r="AF20" i="16"/>
  <c r="AN20" i="17"/>
  <c r="O20" i="16"/>
  <c r="AH20" i="11"/>
  <c r="BH20" i="16"/>
  <c r="AT20" i="16"/>
  <c r="AG20" i="21"/>
  <c r="S20" i="16"/>
  <c r="P20" i="17"/>
  <c r="AT20" i="20"/>
  <c r="W20" i="17"/>
  <c r="AM20" i="21"/>
  <c r="Q20" i="21"/>
  <c r="AA20" i="21"/>
  <c r="AJ20" i="11"/>
  <c r="Y20" i="21"/>
  <c r="Y20" i="16"/>
  <c r="AO20" i="21"/>
  <c r="N20" i="21"/>
  <c r="AE20" i="11"/>
  <c r="AM20" i="16"/>
  <c r="AP20" i="16"/>
  <c r="Q20" i="11"/>
  <c r="AG20" i="17"/>
  <c r="AI20" i="21"/>
  <c r="AS20" i="16"/>
  <c r="BS20" i="16"/>
  <c r="H20" i="12"/>
  <c r="AL20" i="21"/>
  <c r="AA20" i="11"/>
  <c r="K20" i="12"/>
  <c r="AR20" i="17"/>
  <c r="AR20" i="16"/>
  <c r="N20" i="16"/>
  <c r="T20" i="17"/>
  <c r="AB20" i="17"/>
  <c r="K20" i="21"/>
  <c r="AU20" i="11"/>
  <c r="L20" i="21"/>
  <c r="F20" i="17"/>
  <c r="AI20" i="16"/>
  <c r="M20" i="16"/>
  <c r="O12" i="11"/>
  <c r="BA20" i="16"/>
  <c r="Z20" i="17"/>
  <c r="BD19" i="8" l="1"/>
  <c r="AQ20" i="17"/>
  <c r="AP20" i="11"/>
  <c r="AT20" i="21"/>
  <c r="BL20" i="16"/>
  <c r="AQ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<sst xmlns="http://schemas.openxmlformats.org/spreadsheetml/2006/main" count="2102" uniqueCount="918">
  <si>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</si>
  <si>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</si>
  <si>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</si>
  <si>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</si>
  <si>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</si>
  <si>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</si>
  <si>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</si>
  <si>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</si>
  <si>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</si>
  <si>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</si>
  <si>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</si>
  <si>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</si>
  <si>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</si>
  <si>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</si>
  <si>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</si>
  <si>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</si>
  <si>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</si>
  <si>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</si>
  <si>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</si>
  <si>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</si>
  <si>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</si>
  <si>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</si>
  <si>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</si>
  <si>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</si>
  <si>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</si>
  <si>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</si>
  <si>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</si>
  <si>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</si>
  <si>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</si>
  <si>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</si>
  <si>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</si>
  <si>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</si>
  <si>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</si>
  <si>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</si>
  <si>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</si>
  <si>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</si>
  <si>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</si>
  <si>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</si>
  <si>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</si>
  <si>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</si>
  <si>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</si>
  <si>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</si>
  <si>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</si>
  <si>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</si>
  <si>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</si>
  <si>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</si>
  <si>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</si>
  <si>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</si>
  <si>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</si>
  <si>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</si>
  <si>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</si>
  <si>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</si>
  <si>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</si>
  <si>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</si>
  <si>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</si>
  <si>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</si>
  <si>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</si>
  <si>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</si>
  <si>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</si>
  <si>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</si>
  <si>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</si>
  <si>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</si>
  <si>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</si>
  <si>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</si>
  <si>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</si>
  <si>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</si>
  <si>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</si>
  <si>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</si>
  <si>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</si>
  <si>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</si>
  <si>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</si>
  <si>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</si>
  <si>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</si>
  <si>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</si>
  <si>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</si>
  <si>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</si>
  <si>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</si>
  <si>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</si>
  <si>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</si>
  <si>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</si>
  <si>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</si>
  <si>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</si>
  <si>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</si>
  <si>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</si>
  <si>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</si>
  <si>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</si>
  <si>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</si>
  <si>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</si>
  <si>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</si>
  <si>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</si>
  <si>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</si>
  <si>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</si>
  <si>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</si>
  <si>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</si>
  <si>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</si>
  <si>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</si>
  <si>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</si>
  <si>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</si>
  <si>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</si>
  <si>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</si>
  <si>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</si>
  <si>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</si>
  <si>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</si>
  <si>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</si>
  <si>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</si>
  <si>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</si>
  <si>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</si>
  <si>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</si>
  <si>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</si>
  <si>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</si>
  <si>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</si>
  <si>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</si>
  <si>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</si>
  <si>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</si>
  <si>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</si>
  <si>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</si>
  <si>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</si>
  <si>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</si>
  <si>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</si>
  <si>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</si>
  <si>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</si>
  <si>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</si>
  <si>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</si>
  <si>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</si>
  <si>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</si>
  <si>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</si>
  <si>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</si>
  <si>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</si>
  <si>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</si>
  <si>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</si>
  <si>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</si>
  <si>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</si>
  <si>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</si>
  <si>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</si>
  <si>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</si>
  <si>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</si>
  <si>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</si>
  <si>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</si>
  <si>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</si>
  <si>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</si>
  <si>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</si>
  <si>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</si>
  <si>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</si>
  <si>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</si>
  <si>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</si>
  <si>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</si>
  <si>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</si>
  <si>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</si>
  <si>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</si>
  <si>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</si>
  <si>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</si>
  <si>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</si>
  <si>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</si>
  <si>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</si>
  <si>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</si>
  <si>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</si>
  <si>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</si>
  <si>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</si>
  <si>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</si>
  <si>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</si>
  <si>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</si>
  <si>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</si>
  <si>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</si>
  <si>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</si>
  <si>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</si>
  <si>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</si>
  <si>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</si>
  <si>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</si>
  <si>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</si>
  <si>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</si>
  <si>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</si>
  <si>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</si>
  <si>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</si>
  <si>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</si>
  <si>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</si>
  <si>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</si>
  <si>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</si>
  <si>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</si>
  <si>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</si>
  <si>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</si>
  <si>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</si>
  <si>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</si>
  <si>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</si>
  <si>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</si>
  <si>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</si>
  <si>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</si>
  <si>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</si>
  <si>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</si>
  <si>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</si>
  <si>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</si>
  <si>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</si>
  <si>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</si>
  <si>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</si>
  <si>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</si>
  <si>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</si>
  <si>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</si>
  <si>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</si>
  <si>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</si>
  <si>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</si>
  <si>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</si>
  <si>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</si>
  <si>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</si>
  <si>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</si>
  <si>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</si>
  <si>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</si>
  <si>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</si>
  <si>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</si>
  <si>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</si>
  <si>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</si>
  <si>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</si>
  <si>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</si>
  <si>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</si>
  <si>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</si>
  <si>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</si>
  <si>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</si>
  <si>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</si>
  <si>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</si>
  <si>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</si>
  <si>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</si>
  <si>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</si>
  <si>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</si>
  <si>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</si>
  <si>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</si>
  <si>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</si>
  <si>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</si>
  <si>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</si>
  <si>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</si>
  <si>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</si>
  <si>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</si>
  <si>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</si>
  <si>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</si>
  <si>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</si>
  <si>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</si>
  <si>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</si>
  <si>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</si>
  <si>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</si>
  <si>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</si>
  <si>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</si>
  <si>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</si>
  <si>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</si>
  <si>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</si>
  <si>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</si>
  <si>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</si>
  <si>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</si>
  <si>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</si>
  <si>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</si>
  <si>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</si>
  <si>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</si>
  <si>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</si>
  <si>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</si>
  <si>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</si>
  <si>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</si>
  <si>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</si>
  <si>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</si>
  <si>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</si>
  <si>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</si>
  <si>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</si>
  <si>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</si>
  <si>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</si>
  <si>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</si>
  <si>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</si>
  <si>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</si>
  <si>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</si>
  <si>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</si>
  <si>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</si>
  <si>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</si>
  <si>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</si>
  <si>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</si>
  <si>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</si>
  <si>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</si>
  <si>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</si>
  <si>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</si>
  <si>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</si>
  <si>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</si>
  <si>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</si>
  <si>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</si>
  <si>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</si>
  <si>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</si>
  <si>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</si>
  <si>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</si>
  <si>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</si>
  <si>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</si>
  <si>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</si>
  <si>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</si>
  <si>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</si>
  <si>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</si>
  <si>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</si>
  <si>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</si>
  <si>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</si>
  <si>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</si>
  <si>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</si>
  <si>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</si>
  <si>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</si>
  <si>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</si>
  <si>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</si>
  <si>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</si>
  <si>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</si>
  <si>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</si>
  <si>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</si>
  <si>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</si>
  <si>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</si>
  <si>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</si>
  <si>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</si>
  <si>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</si>
  <si>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</si>
  <si>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</si>
  <si>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</si>
  <si>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</si>
  <si>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</si>
  <si>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</si>
  <si>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</si>
  <si>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</si>
  <si>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</si>
  <si>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</si>
  <si>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</si>
  <si>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</si>
  <si>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</si>
  <si>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</si>
  <si>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</si>
  <si>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</si>
  <si>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</si>
  <si>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</si>
  <si>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</si>
  <si>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</si>
  <si>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</si>
  <si>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</si>
  <si>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</si>
  <si>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</si>
  <si>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</si>
  <si>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</si>
  <si>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</si>
  <si>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</si>
  <si>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</si>
  <si>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</si>
  <si>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</si>
  <si>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</si>
  <si>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</si>
  <si>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</si>
  <si>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</si>
  <si>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</si>
  <si>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</si>
  <si>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</si>
  <si>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</si>
  <si>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</si>
  <si>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</si>
  <si>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</si>
  <si>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</si>
  <si>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</si>
  <si>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</si>
  <si>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</si>
  <si>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</si>
  <si>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</si>
  <si>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</si>
  <si>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</si>
  <si>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</si>
  <si>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</si>
  <si>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</si>
  <si>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</si>
  <si>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</si>
  <si>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</si>
  <si>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</si>
  <si>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</si>
  <si>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</si>
  <si>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</si>
  <si>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</si>
  <si>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</si>
  <si>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</si>
  <si>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</si>
  <si>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</si>
  <si>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</si>
  <si>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</si>
  <si>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</si>
  <si>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</si>
  <si>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</si>
  <si>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</si>
  <si>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</si>
  <si>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</si>
  <si>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</si>
  <si>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</si>
  <si>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</si>
  <si>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</si>
  <si>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</si>
  <si>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</si>
  <si>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</si>
  <si>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</si>
  <si>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</si>
  <si>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</si>
  <si>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</si>
  <si>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</si>
  <si>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</si>
  <si>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</si>
  <si>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</si>
  <si>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</si>
  <si>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</si>
  <si>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</si>
  <si>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</si>
  <si>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</si>
  <si>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</si>
  <si>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</si>
  <si>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</si>
  <si>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</si>
  <si>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</si>
  <si>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</si>
  <si>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</si>
  <si>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</si>
  <si>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</si>
  <si>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</si>
  <si>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</si>
  <si>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</si>
  <si>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</si>
  <si>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</si>
  <si>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</si>
  <si>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</si>
  <si>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</si>
  <si>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</si>
  <si>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</si>
  <si>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</si>
  <si>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</si>
  <si>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</si>
  <si>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</si>
  <si>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</si>
  <si>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</si>
  <si>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</si>
  <si>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</si>
  <si>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</si>
  <si>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</si>
  <si>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</si>
  <si>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</si>
  <si>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</si>
  <si>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</si>
  <si>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</si>
  <si>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</si>
  <si>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</si>
  <si>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</si>
  <si>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</si>
  <si>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</si>
  <si>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</si>
  <si>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</si>
  <si>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</si>
  <si>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</si>
  <si>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</si>
  <si>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</si>
  <si>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</si>
  <si>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</si>
  <si>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</si>
  <si>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</si>
  <si>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</si>
  <si>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</si>
  <si>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</si>
  <si>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</si>
  <si>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</si>
  <si>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</si>
  <si>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</si>
  <si>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</si>
  <si>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</si>
  <si>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</si>
  <si>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</si>
  <si>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</si>
  <si>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</si>
  <si>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</si>
  <si>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</si>
  <si>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</si>
  <si>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</si>
  <si>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</si>
  <si>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</si>
  <si>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</si>
  <si>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</si>
  <si>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</si>
  <si>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</si>
  <si>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</si>
  <si>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</si>
  <si>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</si>
  <si>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</si>
  <si>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</si>
  <si>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</si>
  <si>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</si>
  <si>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</si>
  <si>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</si>
  <si>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</si>
  <si>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</si>
  <si>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</si>
  <si>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</si>
  <si>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</si>
  <si>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</si>
  <si>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</si>
  <si>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</si>
  <si>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</si>
  <si>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</si>
  <si>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</si>
  <si>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</si>
  <si>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</si>
  <si>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</si>
  <si>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</si>
  <si>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</si>
  <si>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</si>
  <si>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</si>
  <si>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</si>
  <si>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</si>
  <si>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</si>
  <si>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</si>
  <si>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</si>
  <si>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</si>
  <si>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</si>
  <si>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</si>
  <si>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</si>
  <si>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</si>
  <si>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</si>
  <si>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</si>
  <si>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</si>
  <si>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</si>
  <si>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</si>
  <si>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</si>
  <si>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</si>
  <si>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</si>
  <si>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</si>
  <si>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</si>
  <si>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</si>
  <si>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</si>
  <si>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</si>
  <si>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</si>
  <si>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</si>
  <si>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</si>
  <si>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</si>
  <si>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</si>
  <si>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</si>
  <si>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</si>
  <si>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</si>
  <si>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</si>
  <si>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</si>
  <si>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</si>
  <si>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</si>
  <si>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</si>
  <si>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</si>
  <si>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</si>
  <si>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</si>
  <si>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</si>
  <si>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</si>
  <si>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</si>
  <si>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</si>
  <si>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</si>
  <si>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</si>
  <si>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</si>
  <si>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</si>
  <si>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</si>
  <si>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</si>
  <si>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</si>
  <si>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</si>
  <si>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</si>
  <si>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</si>
  <si>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</si>
  <si>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</si>
  <si>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</si>
  <si>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</si>
  <si>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</si>
  <si>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</si>
  <si>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</si>
  <si>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</si>
  <si>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</si>
  <si>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</si>
  <si>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</si>
  <si>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</si>
  <si>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</si>
  <si>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</si>
  <si>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</si>
  <si>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</si>
  <si>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</si>
  <si>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</si>
  <si>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</si>
  <si>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</si>
  <si>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</si>
  <si>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</si>
  <si>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</si>
  <si>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</si>
  <si>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</si>
  <si>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</si>
  <si>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</si>
  <si>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</si>
  <si>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</si>
  <si>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</si>
  <si>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</si>
  <si>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</si>
  <si>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</si>
  <si>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</si>
  <si>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</si>
  <si>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</si>
  <si>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</si>
  <si>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</si>
  <si>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</si>
  <si>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</si>
  <si>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</si>
  <si>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</si>
  <si>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</si>
  <si>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</si>
  <si>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</si>
  <si>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</si>
  <si>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</si>
  <si>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</si>
  <si>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</si>
  <si>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</si>
  <si>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</si>
  <si>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</si>
  <si>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</si>
  <si>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</si>
  <si>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</si>
  <si>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</si>
  <si>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</si>
  <si>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</si>
  <si>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</si>
  <si>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</si>
  <si>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</si>
  <si>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</si>
  <si>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</si>
  <si>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</si>
  <si>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</si>
  <si>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</si>
  <si>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</si>
  <si>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</si>
  <si>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</si>
  <si>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</si>
  <si>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</si>
  <si>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</si>
  <si>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</si>
  <si>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</si>
  <si>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</si>
  <si>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</si>
  <si>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</si>
  <si>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</si>
  <si>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</si>
  <si>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</si>
  <si>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</si>
  <si>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</si>
  <si>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</si>
  <si>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</si>
  <si>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</si>
  <si>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</si>
  <si>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</si>
  <si>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</si>
  <si>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</si>
  <si>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</si>
  <si>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</si>
  <si>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</si>
  <si>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</si>
  <si>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</si>
  <si>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</si>
  <si>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</si>
  <si>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</si>
  <si>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</si>
  <si>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</si>
  <si>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</si>
  <si>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</si>
  <si>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</si>
  <si>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</si>
  <si>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</si>
  <si>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</si>
  <si>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</si>
  <si>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</si>
  <si>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</si>
  <si>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</si>
  <si>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</si>
  <si>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</si>
  <si>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</si>
  <si>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</si>
  <si>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</si>
  <si>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</si>
  <si>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</si>
  <si>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</si>
  <si>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</si>
  <si>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</si>
  <si>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</si>
  <si>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</si>
  <si>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</si>
  <si>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</si>
  <si>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</si>
  <si>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</si>
  <si>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</si>
  <si>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</si>
  <si>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</si>
  <si>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</si>
  <si>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</si>
  <si>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</si>
  <si>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</si>
  <si>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</si>
  <si>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</si>
  <si>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</si>
  <si>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</si>
  <si>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</si>
  <si>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</si>
  <si>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</si>
  <si>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</si>
  <si>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</si>
  <si>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</si>
  <si>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</si>
  <si>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</si>
  <si>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</si>
  <si>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</si>
  <si>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</si>
  <si>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</si>
  <si>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</si>
  <si>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</si>
  <si>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</si>
  <si>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</si>
  <si>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</si>
  <si>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</si>
  <si>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</si>
  <si>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</si>
  <si>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</si>
  <si>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</si>
  <si>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</si>
  <si>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</si>
  <si>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</si>
  <si>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</si>
  <si>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</si>
  <si>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</si>
  <si>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</si>
  <si>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</si>
  <si>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</si>
  <si>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</si>
  <si>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</si>
  <si>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</si>
  <si>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</si>
  <si>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</si>
  <si>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</si>
  <si>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</si>
  <si>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</si>
  <si>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</si>
  <si>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</si>
  <si>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</si>
  <si>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</si>
  <si>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</si>
  <si>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</si>
  <si>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</si>
  <si>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</si>
  <si>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</si>
  <si>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</si>
  <si>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</si>
  <si>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</si>
  <si>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</si>
  <si>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</si>
  <si>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</si>
  <si>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</si>
  <si>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</si>
  <si>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</si>
  <si>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</si>
  <si>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</si>
  <si>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</si>
  <si>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</si>
  <si>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</si>
  <si>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</si>
  <si>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</si>
  <si>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</si>
  <si>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</si>
  <si>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</si>
  <si>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</si>
  <si>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</si>
  <si>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</si>
  <si>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</si>
  <si>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</si>
  <si>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</si>
  <si>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</si>
  <si>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</si>
  <si>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</si>
  <si>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</si>
  <si>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</si>
  <si>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</si>
  <si>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</si>
  <si>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</si>
  <si>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</si>
  <si>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</si>
  <si>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</si>
  <si>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</si>
  <si>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</si>
  <si>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</si>
  <si>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</si>
  <si>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</si>
  <si>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</si>
  <si>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</si>
  <si>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</si>
  <si>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</si>
  <si>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</si>
  <si>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</si>
  <si>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</si>
  <si>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</si>
  <si>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</si>
  <si>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</si>
  <si>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</si>
  <si>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</si>
  <si>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</si>
  <si>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</si>
  <si>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</si>
  <si>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</si>
  <si>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</si>
  <si>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</si>
  <si>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</si>
  <si>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</si>
  <si>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</si>
  <si>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</si>
  <si>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</si>
  <si>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</si>
  <si>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</si>
  <si>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</si>
  <si>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</si>
  <si>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</si>
  <si>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</si>
  <si>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</si>
  <si>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</si>
  <si>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</si>
  <si>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</si>
  <si>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</si>
  <si>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</si>
  <si>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</si>
  <si>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</si>
  <si>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</si>
  <si>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</si>
  <si>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</si>
  <si>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</si>
  <si>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</si>
  <si>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</si>
  <si>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</si>
  <si>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</si>
  <si>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</si>
  <si>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</si>
  <si>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</si>
  <si>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</si>
  <si>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</si>
  <si>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</si>
  <si>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</si>
  <si>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</si>
  <si>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</si>
  <si>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</si>
  <si>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</si>
  <si>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</si>
  <si>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</si>
  <si>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</si>
  <si>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</si>
  <si>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</si>
  <si>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</si>
  <si>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</si>
  <si>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</si>
  <si>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</si>
  <si>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</si>
  <si>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</si>
  <si>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</si>
  <si>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</si>
  <si>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</si>
  <si>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</si>
  <si>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</si>
  <si>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</si>
  <si>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</si>
  <si>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</si>
  <si>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</si>
  <si>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</si>
  <si>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</si>
  <si>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</si>
  <si>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</si>
  <si>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</si>
  <si>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</si>
  <si>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</si>
  <si>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</si>
  <si>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</si>
  <si>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</si>
  <si>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</si>
  <si>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</si>
  <si>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</si>
  <si>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</si>
  <si>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</si>
  <si>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</si>
  <si>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</si>
  <si>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</si>
  <si>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</si>
  <si>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</si>
  <si>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</si>
  <si>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</si>
  <si>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</si>
  <si>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</si>
  <si>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</si>
  <si>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</si>
  <si>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</si>
  <si>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</si>
  <si>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</si>
  <si>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</si>
  <si>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</si>
  <si>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</si>
  <si>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</si>
  <si>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</si>
  <si>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</si>
  <si>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</si>
  <si>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</si>
  <si>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</si>
  <si>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</si>
  <si>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</si>
  <si>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</si>
  <si>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</si>
  <si>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</si>
  <si>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</si>
  <si>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</si>
  <si>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</si>
  <si>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</si>
  <si>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</si>
  <si>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</si>
  <si>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</si>
  <si>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</si>
  <si>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</si>
  <si>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</si>
  <si>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</si>
  <si>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</si>
  <si>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</si>
  <si>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</si>
  <si>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</si>
  <si>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</si>
  <si>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</si>
  <si>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</si>
  <si>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</si>
  <si>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</si>
  <si>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ANDALUCIA</t>
  </si>
  <si>
    <t>Provincias</t>
  </si>
  <si>
    <t>CADIZ</t>
  </si>
  <si>
    <t>Resumenes por Partidos Judiciales</t>
  </si>
  <si>
    <t>PUERTO REAL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</si>
</sst>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ONk+PY5TN/rGOhyCvIweNgoTdXtXMB7IsEDmjX4Oea6318lUHmk3+sJ0G8j4r6jmbUrFUnRgFWHlT5647hIIvA==" saltValue="TWFr+r0O9NS25Jr0o5/tw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10</v>
      </c>
      <c r="D10" s="225">
        <f>IF(ISNUMBER(Datos!I10),Datos!I10," - ")</f>
        <v>10</v>
      </c>
      <c r="E10" s="226">
        <f>IF(ISNUMBER(Datos!J10),Datos!J10," - ")</f>
        <v>0</v>
      </c>
      <c r="F10" s="226">
        <f>IF(ISNUMBER(Datos!K10),Datos!K10," - ")</f>
        <v>4</v>
      </c>
      <c r="G10" s="1034" t="str">
        <f>IF(Datos!E10&lt;&gt;"",Datos!E10,Datos!D10)</f>
        <v>37</v>
      </c>
      <c r="H10" s="227">
        <f>IF(ISNUMBER(Datos!L10),Datos!L10," - ")</f>
        <v>6</v>
      </c>
      <c r="I10" s="1044" t="str">
        <f>IF(ISNUMBER(Datos!AS10/Datos!BM10),Datos!AS10/Datos!BM10," - ")</f>
        <v xml:space="preserve"> - </v>
      </c>
      <c r="J10" s="1045">
        <f>IF(ISNUMBER(Datos!BY10/Datos!CN10),Datos!BY10/Datos!CN10," - ")</f>
        <v>0</v>
      </c>
      <c r="K10" s="230">
        <f t="shared" ref="K10:K12" si="1">IF(ISNUMBER((E10-F10)/C10),(E10-F10)/C10," - ")</f>
        <v>-0.4</v>
      </c>
      <c r="L10" s="1025">
        <f>IF(ISNUMBER(NºAsuntos!I10/NºAsuntos!G10),(NºAsuntos!I10/NºAsuntos!G10)*11," - ")</f>
        <v>16.5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98.074257425742573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10</v>
      </c>
      <c r="D13" s="1049">
        <f>SUBTOTAL(9,D9:D12)</f>
        <v>10</v>
      </c>
      <c r="E13" s="1050">
        <f>SUBTOTAL(9,E9:E12)</f>
        <v>0</v>
      </c>
      <c r="F13" s="1051">
        <f>SUBTOTAL(9,F9:F12)</f>
        <v>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1257</v>
      </c>
      <c r="D16" s="225">
        <f>IF(ISNUMBER(IF(D_I="SI",Datos!I16,Datos!I16+Datos!AC16)),IF(D_I="SI",Datos!I16,Datos!I16+Datos!AC16)," - ")</f>
        <v>1088</v>
      </c>
      <c r="E16" s="226">
        <f>IF(ISNUMBER(IF(D_I="SI",Datos!J16,Datos!J16+Datos!AD16)),IF(D_I="SI",Datos!J16,Datos!J16+Datos!AD16)," - ")</f>
        <v>669</v>
      </c>
      <c r="F16" s="226">
        <f>IF(ISNUMBER(IF(D_I="SI",Datos!K16,Datos!K16+Datos!AE16)),IF(D_I="SI",Datos!K16,Datos!K16+Datos!AE16)," - ")</f>
        <v>368</v>
      </c>
      <c r="G16" s="1034" t="str">
        <f>IF(Datos!E16&lt;&gt;"",Datos!E16,Datos!D16)</f>
        <v>04</v>
      </c>
      <c r="H16" s="227">
        <f>IF(ISNUMBER(IF(D_I="SI",Datos!L16,Datos!L16+Datos!AF16)),IF(D_I="SI",Datos!L16,Datos!L16+Datos!AF16)," - ")</f>
        <v>1558</v>
      </c>
      <c r="I16" s="1044" t="str">
        <f>IF(ISNUMBER(Datos!AS16/Datos!BM16),Datos!AS16/Datos!BM16," - ")</f>
        <v xml:space="preserve"> - </v>
      </c>
      <c r="J16" s="1045">
        <f>IF(ISNUMBER(Datos!BY16/Datos!CN16),Datos!BY16/Datos!CN16," - ")</f>
        <v>0</v>
      </c>
      <c r="K16" s="230">
        <f t="shared" si="3"/>
        <v>0.23945902943516309</v>
      </c>
      <c r="L16" s="1025">
        <f>IF(ISNUMBER(NºAsuntos!I16/NºAsuntos!G16),(NºAsuntos!I16/NºAsuntos!G16)*11," - ")</f>
        <v>46.570652173913047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40</v>
      </c>
      <c r="D17" s="225">
        <f>IF(ISNUMBER(IF(D_I="SI",Datos!I17,Datos!I17+Datos!AC17)),IF(D_I="SI",Datos!I17,Datos!I17+Datos!AC17)," - ")</f>
        <v>40</v>
      </c>
      <c r="E17" s="226">
        <f>IF(ISNUMBER(IF(D_I="SI",Datos!J17,Datos!J17+Datos!AD17)),IF(D_I="SI",Datos!J17,Datos!J17+Datos!AD17)," - ")</f>
        <v>5</v>
      </c>
      <c r="F17" s="226">
        <f>IF(ISNUMBER(IF(D_I="SI",Datos!K17,Datos!K17+Datos!AE17)),IF(D_I="SI",Datos!K17,Datos!K17+Datos!AE17)," - ")</f>
        <v>13</v>
      </c>
      <c r="G17" s="1034" t="str">
        <f>IF(Datos!E17&lt;&gt;"",Datos!E17,Datos!D17)</f>
        <v>37</v>
      </c>
      <c r="H17" s="227">
        <f>IF(ISNUMBER(IF(D_I="SI",Datos!L17,Datos!L17+Datos!AF17)),IF(D_I="SI",Datos!L17,Datos!L17+Datos!AF17)," - ")</f>
        <v>32</v>
      </c>
      <c r="I17" s="1044" t="str">
        <f>IF(ISNUMBER(Datos!AS17/Datos!BM17),Datos!AS17/Datos!BM17," - ")</f>
        <v xml:space="preserve"> - </v>
      </c>
      <c r="J17" s="1045" t="str">
        <f>IF(ISNUMBER((Datos!BY17+Datos!BZ17)/Datos!CN17),(Datos!BY17+Datos!BZ17)/Datos!CN17," - ")</f>
        <v xml:space="preserve"> - </v>
      </c>
      <c r="K17" s="230">
        <f t="shared" si="3"/>
        <v>-0.2</v>
      </c>
      <c r="L17" s="1025">
        <f>IF(ISNUMBER(NºAsuntos!I17/NºAsuntos!G17),(NºAsuntos!I17/NºAsuntos!G17)*11," - ")</f>
        <v>27.07692307692308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1297</v>
      </c>
      <c r="D18" s="1049">
        <f>SUBTOTAL(9,D15:D17)</f>
        <v>1128</v>
      </c>
      <c r="E18" s="1050">
        <f>SUBTOTAL(9,E15:E17)</f>
        <v>674</v>
      </c>
      <c r="F18" s="1050">
        <f>SUBTOTAL(9,F15:F17)</f>
        <v>381</v>
      </c>
      <c r="G18" s="1052" t="str">
        <f ca="1">INDIRECT(CONCATENATE("G",ROW()-1))</f>
        <v>37</v>
      </c>
      <c r="H18" s="1053">
        <f ca="1">SUMIF(G$14:G17,G18,H$14:H17)</f>
        <v>32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1307</v>
      </c>
      <c r="D19" s="1071">
        <f>SUBTOTAL(9,D9:D18)</f>
        <v>1138</v>
      </c>
      <c r="E19" s="1072">
        <f>SUBTOTAL(9,E9:E18)</f>
        <v>674</v>
      </c>
      <c r="F19" s="1072">
        <f>SUBTOTAL(9,F9:F18)</f>
        <v>385</v>
      </c>
      <c r="G19" s="1073"/>
      <c r="H19" s="1074">
        <f ca="1">SUMIF(B9:B18,"TOTAL",H9:H18)</f>
        <v>32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2GaVZ0fRnwDIjhyUpv19CienDcH1YN1GFzc94WjdaYPD9IH2/5a5mjTjuQpLKbQDh4B3SL7CaD9vPCjZXkK+Hw==" saltValue="dGE/8dYZvTTzDStbJPBNu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BqMf3DoeNAqY8dysXj0MQkqeQy2JNQkHP5B6idkH0StnyzxWcr9Z/pHNfpSyog1oRWSAVkP+cXSwMDg05mapwA==" saltValue="TAK3ZrP50KpcXQsR4JKzJ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10</v>
      </c>
      <c r="J10" s="181">
        <v>0</v>
      </c>
      <c r="K10" s="181">
        <v>4</v>
      </c>
      <c r="L10" s="181">
        <v>6</v>
      </c>
      <c r="M10" s="181">
        <v>4</v>
      </c>
      <c r="N10" s="181">
        <v>0</v>
      </c>
      <c r="O10" s="181">
        <v>0</v>
      </c>
      <c r="P10" s="181">
        <v>0</v>
      </c>
      <c r="Q10" s="181">
        <v>0</v>
      </c>
      <c r="R10" s="181">
        <v>1</v>
      </c>
      <c r="S10" s="181">
        <v>11</v>
      </c>
      <c r="T10" s="181">
        <v>3</v>
      </c>
      <c r="U10" s="181">
        <v>4</v>
      </c>
      <c r="V10" s="181">
        <v>10</v>
      </c>
      <c r="W10" s="181">
        <v>3</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11</v>
      </c>
      <c r="AZ10" s="129">
        <f t="shared" si="0"/>
        <v>3</v>
      </c>
      <c r="BA10" s="129">
        <f t="shared" si="0"/>
        <v>4</v>
      </c>
      <c r="BB10" s="129">
        <f t="shared" si="0"/>
        <v>10</v>
      </c>
      <c r="BC10" s="125">
        <f t="shared" si="0"/>
        <v>3</v>
      </c>
      <c r="BD10" s="126">
        <f>IF(ISNUMBER(BA10/AZ10),BA10/AZ10," - ")</f>
        <v>1.3333333333333333</v>
      </c>
      <c r="BE10" s="127">
        <f>IF(ISNUMBER(BB10/BA10),BB10/BA10, " - ")</f>
        <v>2.5</v>
      </c>
      <c r="BF10" s="127">
        <f>IF(ISNUMBER(BC10/BA10),BC10/BA10, " - ")</f>
        <v>0.75</v>
      </c>
      <c r="BG10" s="196">
        <f>IF(ISNUMBER((AY10+AZ10)/BA10),(AY10+AZ10)/BA10," - ")</f>
        <v>3.5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3262</v>
      </c>
      <c r="J12" s="183">
        <v>557</v>
      </c>
      <c r="K12" s="183">
        <v>349</v>
      </c>
      <c r="L12" s="183">
        <v>3470</v>
      </c>
      <c r="M12" s="183">
        <v>183</v>
      </c>
      <c r="N12" s="183">
        <v>131</v>
      </c>
      <c r="O12" s="181">
        <v>141</v>
      </c>
      <c r="P12" s="183">
        <v>110</v>
      </c>
      <c r="Q12" s="183">
        <v>60</v>
      </c>
      <c r="R12" s="183">
        <v>2405</v>
      </c>
      <c r="S12" s="183">
        <v>2248</v>
      </c>
      <c r="T12" s="183">
        <v>514</v>
      </c>
      <c r="U12" s="183">
        <v>379</v>
      </c>
      <c r="V12" s="183">
        <v>2383</v>
      </c>
      <c r="W12" s="183">
        <v>70</v>
      </c>
      <c r="X12" s="189">
        <v>178</v>
      </c>
      <c r="Y12" s="191">
        <v>139</v>
      </c>
      <c r="Z12" s="181">
        <v>48</v>
      </c>
      <c r="AA12" s="181">
        <v>55</v>
      </c>
      <c r="AB12" s="181">
        <v>132</v>
      </c>
      <c r="AC12" s="183">
        <v>0</v>
      </c>
      <c r="AD12" s="183">
        <v>0</v>
      </c>
      <c r="AE12" s="183">
        <v>0</v>
      </c>
      <c r="AF12" s="189">
        <v>0</v>
      </c>
      <c r="AG12" s="202">
        <v>133</v>
      </c>
      <c r="AH12" s="183">
        <v>75</v>
      </c>
      <c r="AI12" s="183">
        <v>70</v>
      </c>
      <c r="AJ12" s="203">
        <v>138</v>
      </c>
      <c r="AK12" s="182">
        <v>0</v>
      </c>
      <c r="AL12" s="183">
        <v>0</v>
      </c>
      <c r="AM12" s="183">
        <v>0</v>
      </c>
      <c r="AN12" s="189">
        <v>0</v>
      </c>
      <c r="AO12" s="259">
        <v>2</v>
      </c>
      <c r="AP12" s="155">
        <v>2</v>
      </c>
      <c r="AQ12" s="155">
        <v>2</v>
      </c>
      <c r="AR12" s="154">
        <v>2</v>
      </c>
      <c r="AS12" s="340" t="s">
        <v>802</v>
      </c>
      <c r="AT12" s="203"/>
      <c r="AU12" s="202"/>
      <c r="AV12" s="203"/>
      <c r="AW12" s="202"/>
      <c r="AX12" s="203"/>
      <c r="AY12" s="126">
        <f t="shared" si="1"/>
        <v>2381</v>
      </c>
      <c r="AZ12" s="127">
        <f t="shared" si="1"/>
        <v>589</v>
      </c>
      <c r="BA12" s="127">
        <f t="shared" si="1"/>
        <v>449</v>
      </c>
      <c r="BB12" s="127">
        <f t="shared" si="1"/>
        <v>2521</v>
      </c>
      <c r="BC12" s="125">
        <f>IF(ISNUMBER(X12),X12," - ")</f>
        <v>178</v>
      </c>
      <c r="BD12" s="126">
        <f t="shared" si="2"/>
        <v>0.76230899830220711</v>
      </c>
      <c r="BE12" s="127">
        <f t="shared" si="3"/>
        <v>5.6146993318485521</v>
      </c>
      <c r="BF12" s="127">
        <f t="shared" si="4"/>
        <v>0.39643652561247217</v>
      </c>
      <c r="BG12" s="196">
        <f t="shared" si="5"/>
        <v>6.6146993318485521</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3272</v>
      </c>
      <c r="J13" s="184">
        <f t="shared" si="6"/>
        <v>557</v>
      </c>
      <c r="K13" s="184">
        <f t="shared" si="6"/>
        <v>353</v>
      </c>
      <c r="L13" s="184">
        <f t="shared" si="6"/>
        <v>3476</v>
      </c>
      <c r="M13" s="184">
        <f t="shared" si="6"/>
        <v>187</v>
      </c>
      <c r="N13" s="184">
        <f t="shared" si="6"/>
        <v>131</v>
      </c>
      <c r="O13" s="184">
        <f t="shared" si="6"/>
        <v>141</v>
      </c>
      <c r="P13" s="184">
        <f t="shared" si="6"/>
        <v>110</v>
      </c>
      <c r="Q13" s="184">
        <f t="shared" si="6"/>
        <v>60</v>
      </c>
      <c r="R13" s="184">
        <f t="shared" si="6"/>
        <v>2406</v>
      </c>
      <c r="S13" s="184">
        <f t="shared" si="6"/>
        <v>2259</v>
      </c>
      <c r="T13" s="184">
        <f t="shared" si="6"/>
        <v>517</v>
      </c>
      <c r="U13" s="184">
        <f t="shared" si="6"/>
        <v>383</v>
      </c>
      <c r="V13" s="184">
        <f t="shared" si="6"/>
        <v>2393</v>
      </c>
      <c r="W13" s="184">
        <f t="shared" si="6"/>
        <v>73</v>
      </c>
      <c r="X13" s="184">
        <f t="shared" si="6"/>
        <v>178</v>
      </c>
      <c r="Y13" s="184">
        <f t="shared" si="6"/>
        <v>139</v>
      </c>
      <c r="Z13" s="184">
        <f t="shared" si="6"/>
        <v>48</v>
      </c>
      <c r="AA13" s="184">
        <f t="shared" si="6"/>
        <v>55</v>
      </c>
      <c r="AB13" s="184">
        <f t="shared" si="6"/>
        <v>132</v>
      </c>
      <c r="AC13" s="184">
        <f t="shared" si="6"/>
        <v>0</v>
      </c>
      <c r="AD13" s="184">
        <f t="shared" si="6"/>
        <v>0</v>
      </c>
      <c r="AE13" s="184">
        <f t="shared" si="6"/>
        <v>0</v>
      </c>
      <c r="AF13" s="184">
        <f>SUBTOTAL(9,AF9:AF12)</f>
        <v>0</v>
      </c>
      <c r="AG13" s="184">
        <f t="shared" ref="AG13:AT13" si="7">SUBTOTAL(9,AG8:AG12)</f>
        <v>133</v>
      </c>
      <c r="AH13" s="184">
        <f t="shared" si="7"/>
        <v>75</v>
      </c>
      <c r="AI13" s="184">
        <f t="shared" si="7"/>
        <v>70</v>
      </c>
      <c r="AJ13" s="184">
        <f t="shared" si="7"/>
        <v>138</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2392</v>
      </c>
      <c r="AZ13" s="184">
        <f>SUBTOTAL(9,AZ8:AZ12)</f>
        <v>592</v>
      </c>
      <c r="BA13" s="184">
        <f>SUBTOTAL(9,BA8:BA12)</f>
        <v>453</v>
      </c>
      <c r="BB13" s="184">
        <f>SUBTOTAL(9,BB8:BB12)</f>
        <v>2531</v>
      </c>
      <c r="BC13" s="184">
        <f>SUBTOTAL(9,BC8:BC12)</f>
        <v>181</v>
      </c>
      <c r="BD13" s="205">
        <f>IF(ISNUMBER(BA13/AZ13),BA13/AZ13," - ")</f>
        <v>0.76520270270270274</v>
      </c>
      <c r="BE13" s="206">
        <f>IF(ISNUMBER(BB13/BA13),BB13/BA13, " - ")</f>
        <v>5.5871964679911699</v>
      </c>
      <c r="BF13" s="206">
        <f>IF(ISNUMBER(BC13/BA13),BC13/BA13, " - ")</f>
        <v>0.39955849889624723</v>
      </c>
      <c r="BG13" s="207">
        <f>IF(ISNUMBER((AY13+AZ13)/BA13),(AY13+AZ13)/BA13," - ")</f>
        <v>6.5871964679911699</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1088</v>
      </c>
      <c r="J16" s="183">
        <v>669</v>
      </c>
      <c r="K16" s="183">
        <v>368</v>
      </c>
      <c r="L16" s="183">
        <v>1558</v>
      </c>
      <c r="M16" s="183">
        <v>93</v>
      </c>
      <c r="N16" s="183">
        <v>195</v>
      </c>
      <c r="O16" s="181">
        <v>4</v>
      </c>
      <c r="P16" s="183">
        <v>13</v>
      </c>
      <c r="Q16" s="183">
        <v>4</v>
      </c>
      <c r="R16" s="183">
        <v>233</v>
      </c>
      <c r="S16" s="183">
        <v>875</v>
      </c>
      <c r="T16" s="183">
        <v>724</v>
      </c>
      <c r="U16" s="183">
        <v>733</v>
      </c>
      <c r="V16" s="183">
        <v>866</v>
      </c>
      <c r="W16" s="183">
        <v>102</v>
      </c>
      <c r="X16" s="189">
        <v>548</v>
      </c>
      <c r="Y16" s="202">
        <v>0</v>
      </c>
      <c r="Z16" s="183">
        <v>0</v>
      </c>
      <c r="AA16" s="183">
        <v>0</v>
      </c>
      <c r="AB16" s="183">
        <v>0</v>
      </c>
      <c r="AC16" s="183">
        <v>0</v>
      </c>
      <c r="AD16" s="183">
        <v>1</v>
      </c>
      <c r="AE16" s="183">
        <v>1</v>
      </c>
      <c r="AF16" s="189">
        <v>0</v>
      </c>
      <c r="AG16" s="202">
        <v>0</v>
      </c>
      <c r="AH16" s="183">
        <v>0</v>
      </c>
      <c r="AI16" s="183">
        <v>0</v>
      </c>
      <c r="AJ16" s="203">
        <v>0</v>
      </c>
      <c r="AK16" s="182">
        <v>0</v>
      </c>
      <c r="AL16" s="183">
        <v>6</v>
      </c>
      <c r="AM16" s="183">
        <v>6</v>
      </c>
      <c r="AN16" s="189">
        <v>0</v>
      </c>
      <c r="AO16" s="259">
        <v>2</v>
      </c>
      <c r="AP16" s="155">
        <v>2</v>
      </c>
      <c r="AQ16" s="155">
        <v>2</v>
      </c>
      <c r="AR16" s="155">
        <v>2</v>
      </c>
      <c r="AS16" s="340" t="s">
        <v>487</v>
      </c>
      <c r="AT16" s="203"/>
      <c r="AU16" s="202"/>
      <c r="AV16" s="203"/>
      <c r="AW16" s="202"/>
      <c r="AX16" s="203"/>
      <c r="AY16" s="126">
        <f t="shared" si="9"/>
        <v>875</v>
      </c>
      <c r="AZ16" s="127">
        <f t="shared" si="9"/>
        <v>724</v>
      </c>
      <c r="BA16" s="127">
        <f t="shared" si="9"/>
        <v>733</v>
      </c>
      <c r="BB16" s="127">
        <f t="shared" si="9"/>
        <v>866</v>
      </c>
      <c r="BC16" s="125">
        <f>IF(ISNUMBER(W16),W16," - ")</f>
        <v>102</v>
      </c>
      <c r="BD16" s="126">
        <f t="shared" ref="BD16" si="11">IF(ISNUMBER(BA16/AZ16),BA16/AZ16," - ")</f>
        <v>1.0124309392265194</v>
      </c>
      <c r="BE16" s="127">
        <f t="shared" ref="BE16" si="12">IF(ISNUMBER(BB16/BA16),BB16/BA16, " - ")</f>
        <v>1.1814461118690314</v>
      </c>
      <c r="BF16" s="127">
        <f t="shared" ref="BF16" si="13">IF(ISNUMBER(BC16/BA16),BC16/BA16, " - ")</f>
        <v>0.13915416098226466</v>
      </c>
      <c r="BG16" s="196">
        <f t="shared" si="10"/>
        <v>2.1814461118690316</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40</v>
      </c>
      <c r="J17" s="183">
        <v>5</v>
      </c>
      <c r="K17" s="183">
        <v>13</v>
      </c>
      <c r="L17" s="183">
        <v>32</v>
      </c>
      <c r="M17" s="183">
        <v>0</v>
      </c>
      <c r="N17" s="183">
        <v>6</v>
      </c>
      <c r="O17" s="183">
        <v>0</v>
      </c>
      <c r="P17" s="183">
        <v>0</v>
      </c>
      <c r="Q17" s="183">
        <v>0</v>
      </c>
      <c r="R17" s="183">
        <v>7</v>
      </c>
      <c r="S17" s="183">
        <v>42</v>
      </c>
      <c r="T17" s="183">
        <v>43</v>
      </c>
      <c r="U17" s="183">
        <v>30</v>
      </c>
      <c r="V17" s="183">
        <v>55</v>
      </c>
      <c r="W17" s="183">
        <v>7</v>
      </c>
      <c r="X17" s="189">
        <v>12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42</v>
      </c>
      <c r="AZ17" s="129">
        <f t="shared" si="14"/>
        <v>43</v>
      </c>
      <c r="BA17" s="129">
        <f t="shared" si="14"/>
        <v>30</v>
      </c>
      <c r="BB17" s="129">
        <f t="shared" si="14"/>
        <v>55</v>
      </c>
      <c r="BC17" s="125">
        <f>IF(ISNUMBER(W17),W17," - ")</f>
        <v>7</v>
      </c>
      <c r="BD17" s="126">
        <f>IF(ISNUMBER(BA17/AZ17),BA17/AZ17," - ")</f>
        <v>0.69767441860465118</v>
      </c>
      <c r="BE17" s="127">
        <f>IF(ISNUMBER(BB17/BA17),BB17/BA17, " - ")</f>
        <v>1.8333333333333333</v>
      </c>
      <c r="BF17" s="127">
        <f>IF(ISNUMBER(BC17/BA17),BC17/BA17, " - ")</f>
        <v>0.23333333333333334</v>
      </c>
      <c r="BG17" s="196">
        <f>IF(ISNUMBER((AY17+AZ17)/BA17),(AY17+AZ17)/BA17," - ")</f>
        <v>2.8333333333333335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1128</v>
      </c>
      <c r="J18" s="184">
        <f t="shared" si="15"/>
        <v>674</v>
      </c>
      <c r="K18" s="184">
        <f t="shared" si="15"/>
        <v>381</v>
      </c>
      <c r="L18" s="184">
        <f t="shared" si="15"/>
        <v>1590</v>
      </c>
      <c r="M18" s="184">
        <f t="shared" si="15"/>
        <v>93</v>
      </c>
      <c r="N18" s="184">
        <f t="shared" si="15"/>
        <v>201</v>
      </c>
      <c r="O18" s="184">
        <f t="shared" si="15"/>
        <v>4</v>
      </c>
      <c r="P18" s="184">
        <f t="shared" si="15"/>
        <v>13</v>
      </c>
      <c r="Q18" s="184">
        <f t="shared" si="15"/>
        <v>4</v>
      </c>
      <c r="R18" s="184">
        <f t="shared" si="15"/>
        <v>240</v>
      </c>
      <c r="S18" s="184">
        <f t="shared" si="15"/>
        <v>917</v>
      </c>
      <c r="T18" s="184">
        <f t="shared" si="15"/>
        <v>767</v>
      </c>
      <c r="U18" s="184">
        <f t="shared" si="15"/>
        <v>763</v>
      </c>
      <c r="V18" s="184">
        <f t="shared" si="15"/>
        <v>921</v>
      </c>
      <c r="W18" s="184">
        <f t="shared" si="15"/>
        <v>109</v>
      </c>
      <c r="X18" s="184">
        <f t="shared" si="15"/>
        <v>560</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0</v>
      </c>
      <c r="AL18" s="184">
        <f t="shared" si="15"/>
        <v>6</v>
      </c>
      <c r="AM18" s="184">
        <f t="shared" si="15"/>
        <v>6</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917</v>
      </c>
      <c r="AZ18" s="184">
        <f>SUBTOTAL(9,AZ14:AZ17)</f>
        <v>767</v>
      </c>
      <c r="BA18" s="184">
        <f>SUBTOTAL(9,BA14:BA17)</f>
        <v>763</v>
      </c>
      <c r="BB18" s="184">
        <f>SUBTOTAL(9,BB14:BB17)</f>
        <v>921</v>
      </c>
      <c r="BC18" s="184">
        <f>SUBTOTAL(9,BC14:BC17)</f>
        <v>109</v>
      </c>
      <c r="BD18" s="205">
        <f>IF(ISNUMBER(BA18/AZ18),BA18/AZ18," - ")</f>
        <v>0.99478487614080835</v>
      </c>
      <c r="BE18" s="206">
        <f>IF(ISNUMBER(BB18/BA18),BB18/BA18, " - ")</f>
        <v>1.2070773263433814</v>
      </c>
      <c r="BF18" s="206">
        <f>IF(ISNUMBER(BC18/BA18),BC18/BA18, " - ")</f>
        <v>0.14285714285714285</v>
      </c>
      <c r="BG18" s="207">
        <f>IF(ISNUMBER((AY18+AZ18)/BA18),(AY18+AZ18)/BA18," - ")</f>
        <v>2.2070773263433816</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4400</v>
      </c>
      <c r="J19" s="134">
        <f t="shared" si="18"/>
        <v>1231</v>
      </c>
      <c r="K19" s="134">
        <f t="shared" si="18"/>
        <v>734</v>
      </c>
      <c r="L19" s="134">
        <f t="shared" si="18"/>
        <v>5066</v>
      </c>
      <c r="M19" s="134">
        <f t="shared" si="18"/>
        <v>280</v>
      </c>
      <c r="N19" s="134">
        <f t="shared" si="18"/>
        <v>332</v>
      </c>
      <c r="O19" s="134">
        <f t="shared" si="18"/>
        <v>145</v>
      </c>
      <c r="P19" s="134">
        <f t="shared" si="18"/>
        <v>123</v>
      </c>
      <c r="Q19" s="134">
        <f t="shared" si="18"/>
        <v>64</v>
      </c>
      <c r="R19" s="134">
        <f t="shared" si="18"/>
        <v>2646</v>
      </c>
      <c r="S19" s="134">
        <f t="shared" si="18"/>
        <v>3176</v>
      </c>
      <c r="T19" s="134">
        <f t="shared" si="18"/>
        <v>1284</v>
      </c>
      <c r="U19" s="134">
        <f t="shared" si="18"/>
        <v>1146</v>
      </c>
      <c r="V19" s="134">
        <f t="shared" si="18"/>
        <v>3314</v>
      </c>
      <c r="W19" s="134">
        <f t="shared" si="18"/>
        <v>182</v>
      </c>
      <c r="X19" s="134">
        <f t="shared" si="18"/>
        <v>738</v>
      </c>
      <c r="Y19" s="134">
        <f t="shared" si="18"/>
        <v>139</v>
      </c>
      <c r="Z19" s="134">
        <f t="shared" si="18"/>
        <v>48</v>
      </c>
      <c r="AA19" s="134">
        <f t="shared" si="18"/>
        <v>55</v>
      </c>
      <c r="AB19" s="134">
        <f t="shared" si="18"/>
        <v>132</v>
      </c>
      <c r="AC19" s="134">
        <f t="shared" si="18"/>
        <v>0</v>
      </c>
      <c r="AD19" s="134">
        <f t="shared" si="18"/>
        <v>1</v>
      </c>
      <c r="AE19" s="134">
        <f t="shared" si="18"/>
        <v>1</v>
      </c>
      <c r="AF19" s="134">
        <f t="shared" si="18"/>
        <v>0</v>
      </c>
      <c r="AG19" s="134">
        <f t="shared" si="18"/>
        <v>133</v>
      </c>
      <c r="AH19" s="134">
        <f t="shared" si="18"/>
        <v>75</v>
      </c>
      <c r="AI19" s="134">
        <f t="shared" si="18"/>
        <v>70</v>
      </c>
      <c r="AJ19" s="134">
        <f t="shared" si="18"/>
        <v>138</v>
      </c>
      <c r="AK19" s="134">
        <f t="shared" si="18"/>
        <v>0</v>
      </c>
      <c r="AL19" s="134">
        <f t="shared" si="18"/>
        <v>6</v>
      </c>
      <c r="AM19" s="134">
        <f t="shared" si="18"/>
        <v>6</v>
      </c>
      <c r="AN19" s="210">
        <f t="shared" si="18"/>
        <v>0</v>
      </c>
      <c r="AO19" s="211">
        <v>3</v>
      </c>
      <c r="AP19" s="211">
        <v>2</v>
      </c>
      <c r="AQ19" s="211">
        <v>2</v>
      </c>
      <c r="AR19" s="211">
        <v>2</v>
      </c>
      <c r="AS19" s="153">
        <f t="shared" si="18"/>
        <v>0</v>
      </c>
      <c r="AT19" s="153">
        <f t="shared" si="18"/>
        <v>0</v>
      </c>
      <c r="AU19" s="211"/>
      <c r="AV19" s="212"/>
      <c r="AW19" s="211"/>
      <c r="AX19" s="212"/>
      <c r="AY19" s="133">
        <f>SUBTOTAL(9,AY9:AY18)</f>
        <v>3309</v>
      </c>
      <c r="AZ19" s="134">
        <f>SUBTOTAL(9,AZ9:AZ18)</f>
        <v>1359</v>
      </c>
      <c r="BA19" s="134">
        <f>SUBTOTAL(9,BA9:BA18)</f>
        <v>1216</v>
      </c>
      <c r="BB19" s="134">
        <f>SUBTOTAL(9,BB9:BB18)</f>
        <v>3452</v>
      </c>
      <c r="BC19" s="135">
        <f>SUBTOTAL(9,BC9:BC18)</f>
        <v>290</v>
      </c>
      <c r="BD19" s="213">
        <f>IF(ISNUMBER(BA19/AZ19),BA19/AZ19," - ")</f>
        <v>0.89477557027225907</v>
      </c>
      <c r="BE19" s="210">
        <f>IF(ISNUMBER(BB19/BA19),BB19/BA19, " - ")</f>
        <v>2.8388157894736841</v>
      </c>
      <c r="BF19" s="210">
        <f>IF(ISNUMBER(BC19/BA19),BC19/BA19, " - ")</f>
        <v>0.23848684210526316</v>
      </c>
      <c r="BG19" s="135">
        <f>IF(ISNUMBER((AY19+AZ19)/BA19),(AY19+AZ19)/BA19," - ")</f>
        <v>3.8388157894736841</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1P6cPcc4MuZ5OzOm12H4wT2Jbr6Xjh1/imMNMoujf7n3F/Xu+A8D0b/e7+fmrnW5lt6rqG6UcqIa/Q37ikXS0g==" saltValue="Wq3r485vSkz+fWfu6g8+g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rmYBjCEuxBagix7F4Ea3NbXgZtysV2o0M3bdT1rLey9iYhwV4UYCDXIbs7IJmD+wEabrr75Kaq0dzvD6S+HIw==" saltValue="sfX67CVXbtOI47uKGwAtu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CADIZ  Resumenes por Partidos Judiciales  PUERTO REAL</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10</v>
      </c>
      <c r="G10" s="333">
        <f>IF(ISNUMBER(Datos!I10),Datos!I10," - ")</f>
        <v>10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v>
      </c>
      <c r="AC10" s="226">
        <f>IF(ISNUMBER(Datos!Q10),Datos!Q10," - ")</f>
        <v>0</v>
      </c>
      <c r="AD10" s="334"/>
      <c r="AE10" s="484"/>
      <c r="AF10" s="332">
        <f>IF(ISNUMBER(Datos!L10),Datos!L10,"-")</f>
        <v>6</v>
      </c>
      <c r="AG10" s="334"/>
      <c r="AH10" s="334"/>
      <c r="AI10" s="334"/>
      <c r="AJ10" s="334"/>
      <c r="AK10" s="334"/>
      <c r="AL10" s="479"/>
      <c r="AM10" s="335">
        <f>IF(ISNUMBER(Datos!R10),Datos!R10," - ")</f>
        <v>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f>IF(ISNUMBER(((Datos!L10/Datos!K10)*11)/factor_trimestre),((Datos!L10/Datos!K10)*11)/factor_trimestre," - ")</f>
        <v>4.5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48</v>
      </c>
      <c r="O12" s="334"/>
      <c r="P12" s="334"/>
      <c r="Q12" s="226">
        <f>IF(ISNUMBER(Datos!P12),Datos!P12,0)</f>
        <v>110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60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132</v>
      </c>
      <c r="AI12" s="334" t="str">
        <f>IF(ISNUMBER(Datos!CD12),Datos!CD12,"-")</f>
        <v>-</v>
      </c>
      <c r="AJ12" s="334" t="str">
        <f>IF(ISNUMBER(Datos!EN12),Datos!EN12," - ")</f>
        <v xml:space="preserve"> - </v>
      </c>
      <c r="AK12" s="334"/>
      <c r="AL12" s="479"/>
      <c r="AM12" s="335">
        <f>IF(ISNUMBER(Datos!R12),Datos!R12," - ")</f>
        <v>2405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183</v>
      </c>
      <c r="BD12" s="229">
        <f>IF(ISNUMBER(Datos!N12),Datos!N12," - ")</f>
        <v>131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0.66776859504132235</v>
      </c>
      <c r="BH12" s="260">
        <f>IF(ISNUMBER(((IF(J_V="SI",Datos!L12/Datos!K12,(Datos!L12+Datos!AB12)/(Datos!K12+Datos!AA12)))*11)/factor_trimestre),((IF(J_V="SI",Datos!L12/Datos!K12,(Datos!L12+Datos!AB12)/(Datos!K12+Datos!AA12)))*11)/factor_trimestre," - ")</f>
        <v>26.747524752475247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2.1231422505307854E-2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10</v>
      </c>
      <c r="G13" s="898">
        <f t="shared" si="0"/>
        <v>10</v>
      </c>
      <c r="H13" s="899">
        <f t="shared" si="0"/>
        <v>0</v>
      </c>
      <c r="I13" s="898">
        <f t="shared" si="0"/>
        <v>0</v>
      </c>
      <c r="J13" s="867">
        <f t="shared" si="0"/>
        <v>0</v>
      </c>
      <c r="K13" s="867">
        <f t="shared" si="0"/>
        <v>0</v>
      </c>
      <c r="L13" s="899">
        <f t="shared" si="0"/>
        <v>0</v>
      </c>
      <c r="M13" s="899">
        <f t="shared" si="0"/>
        <v>0</v>
      </c>
      <c r="N13" s="899">
        <f t="shared" si="0"/>
        <v>48</v>
      </c>
      <c r="O13" s="900">
        <f t="shared" si="0"/>
        <v>0</v>
      </c>
      <c r="P13" s="900">
        <f t="shared" si="0"/>
        <v>0</v>
      </c>
      <c r="Q13" s="899">
        <f t="shared" si="0"/>
        <v>110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v>
      </c>
      <c r="AC13" s="899">
        <f t="shared" si="1"/>
        <v>60</v>
      </c>
      <c r="AD13" s="899">
        <f t="shared" si="1"/>
        <v>0</v>
      </c>
      <c r="AE13" s="899">
        <f t="shared" si="1"/>
        <v>0</v>
      </c>
      <c r="AF13" s="899">
        <f t="shared" si="1"/>
        <v>6</v>
      </c>
      <c r="AG13" s="899">
        <f t="shared" si="1"/>
        <v>0</v>
      </c>
      <c r="AH13" s="899">
        <f t="shared" si="1"/>
        <v>132</v>
      </c>
      <c r="AI13" s="899">
        <f t="shared" si="1"/>
        <v>0</v>
      </c>
      <c r="AJ13" s="899">
        <f t="shared" si="1"/>
        <v>0</v>
      </c>
      <c r="AK13" s="899">
        <f t="shared" si="1"/>
        <v>0</v>
      </c>
      <c r="AL13" s="899">
        <f t="shared" si="1"/>
        <v>0</v>
      </c>
      <c r="AM13" s="899">
        <f t="shared" si="1"/>
        <v>2406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187</v>
      </c>
      <c r="BD13" s="899">
        <f t="shared" si="1"/>
        <v>131</v>
      </c>
      <c r="BE13" s="899">
        <f t="shared" si="1"/>
        <v>0</v>
      </c>
      <c r="BF13" s="899">
        <f t="shared" si="1"/>
        <v>0</v>
      </c>
      <c r="BG13" s="899">
        <f>IF(ISNUMBER(Datos!K13/Datos!J13),Datos!K13/Datos!J13," - ")</f>
        <v>0.63375224416517051</v>
      </c>
      <c r="BH13" s="903">
        <f>IF(ISNUMBER(((Datos!L13/Datos!K13)*11)/factor_trimestre),((Datos!L13/Datos!K13)*11)/factor_trimestre," - ")</f>
        <v>29.541076487252127</v>
      </c>
      <c r="BI13" s="899">
        <f>IF(ISNUMBER('Resol  Asuntos'!D13/NºAsuntos!G13),'Resol  Asuntos'!D13/NºAsuntos!G13," - ")</f>
        <v>0.45833333333333331</v>
      </c>
      <c r="BJ13" s="899" t="str">
        <f>IF(ISNUMBER(Datos!CI13/Datos!CJ13),Datos!CI13/Datos!CJ13," - ")</f>
        <v xml:space="preserve"> - </v>
      </c>
      <c r="BK13" s="899">
        <f>SUBTOTAL(9,BK8:BK12)</f>
        <v>0</v>
      </c>
      <c r="BL13" s="899">
        <f>IF(ISNUMBER((I13-AB13+L13)/(F13)),(I13-AB13+L13)/(F13)," - ")</f>
        <v>-0.4</v>
      </c>
      <c r="BM13" s="904">
        <f>SUBTOTAL(9,BM9:BM12)</f>
        <v>2.1231422505307854E-2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1257</v>
      </c>
      <c r="G16" s="598">
        <f>IF(ISNUMBER(IF(D_I="SI",Datos!I16,Datos!I16+Datos!AC16)),IF(D_I="SI",Datos!I16,Datos!I16+Datos!AC16)," - ")</f>
        <v>1088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368</v>
      </c>
      <c r="AC16" s="226">
        <f>IF(ISNUMBER(Datos!Q16),Datos!Q16," - ")</f>
        <v>4</v>
      </c>
      <c r="AD16" s="334"/>
      <c r="AE16" s="484"/>
      <c r="AF16" s="596">
        <f>IF(ISNUMBER(IF(D_I="SI",Datos!L16,Datos!L16+Datos!AF16)),IF(D_I="SI",Datos!L16,Datos!L16+Datos!AF16)," - ")</f>
        <v>1558</v>
      </c>
      <c r="AG16" s="334"/>
      <c r="AH16" s="334"/>
      <c r="AI16" s="334"/>
      <c r="AJ16" s="334"/>
      <c r="AK16" s="334"/>
      <c r="AL16" s="479"/>
      <c r="AM16" s="335">
        <f>IF(ISNUMBER(Datos!R16),Datos!R16," - ")</f>
        <v>233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93</v>
      </c>
      <c r="BD16" s="229">
        <f>IF(ISNUMBER(Datos!N16),Datos!N16," - ")</f>
        <v>195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0.55007473841554555</v>
      </c>
      <c r="BH16" s="260">
        <f>IF(ISNUMBER(((IF(D_I="SI",Datos!L16/Datos!K16,(Datos!L16+Datos!AF16)/(Datos!K16+Datos!AE16)))*11)/factor_trimestre),((IF(D_I="SI",Datos!L16/Datos!K16,(Datos!L16+Datos!AF16)/(Datos!K16+Datos!AE16)))*11)/factor_trimestre," - ")</f>
        <v>12.70108695652174</v>
      </c>
      <c r="BI16" s="243">
        <f>IF(ISNUMBER('Resol  Asuntos'!D16/NºAsuntos!G16),'Resol  Asuntos'!D16/NºAsuntos!G16," - ")</f>
        <v>0.25271739130434784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13</v>
      </c>
      <c r="AC17" s="226">
        <f>IF(ISNUMBER(Datos!Q17),Datos!Q17," - ")</f>
        <v>0</v>
      </c>
      <c r="AD17" s="334"/>
      <c r="AE17" s="484"/>
      <c r="AF17" s="332">
        <f>IF(ISNUMBER(Datos!L17),Datos!L17,"-")</f>
        <v>32</v>
      </c>
      <c r="AG17" s="334"/>
      <c r="AH17" s="334"/>
      <c r="AI17" s="334"/>
      <c r="AJ17" s="334"/>
      <c r="AK17" s="334"/>
      <c r="AL17" s="479"/>
      <c r="AM17" s="335">
        <f>IF(ISNUMBER(Datos!R17),Datos!R17," - ")</f>
        <v>7</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2.6</v>
      </c>
      <c r="BH17" s="260">
        <f>IF(ISNUMBER(((IF(D_I="SI",Datos!L17/Datos!K17,(Datos!L17+Datos!AF17)/(Datos!K17+Datos!AE17)))*11)/factor_trimestre),((IF(D_I="SI",Datos!L17/Datos!K17,(Datos!L17+Datos!AF17)/(Datos!K17+Datos!AE17)))*11)/factor_trimestre," - ")</f>
        <v>7.3846153846153859</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1257</v>
      </c>
      <c r="G18" s="898">
        <f>SUBTOTAL(9,G15:G17)</f>
        <v>1128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381</v>
      </c>
      <c r="AC18" s="899">
        <f t="shared" si="4"/>
        <v>4</v>
      </c>
      <c r="AD18" s="899">
        <f t="shared" si="4"/>
        <v>0</v>
      </c>
      <c r="AE18" s="899">
        <f t="shared" si="4"/>
        <v>0</v>
      </c>
      <c r="AF18" s="899">
        <f t="shared" si="4"/>
        <v>1590</v>
      </c>
      <c r="AG18" s="899">
        <f t="shared" si="4"/>
        <v>0</v>
      </c>
      <c r="AH18" s="899">
        <f t="shared" si="4"/>
        <v>0</v>
      </c>
      <c r="AI18" s="899">
        <f t="shared" si="4"/>
        <v>0</v>
      </c>
      <c r="AJ18" s="899">
        <f t="shared" si="4"/>
        <v>0</v>
      </c>
      <c r="AK18" s="899">
        <f t="shared" si="4"/>
        <v>0</v>
      </c>
      <c r="AL18" s="899">
        <f t="shared" si="4"/>
        <v>0</v>
      </c>
      <c r="AM18" s="899">
        <f t="shared" si="4"/>
        <v>240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93</v>
      </c>
      <c r="BD18" s="899">
        <f t="shared" si="4"/>
        <v>201</v>
      </c>
      <c r="BE18" s="899">
        <f t="shared" si="4"/>
        <v>0</v>
      </c>
      <c r="BF18" s="899">
        <f t="shared" si="4"/>
        <v>0</v>
      </c>
      <c r="BG18" s="899">
        <f>IF(ISNUMBER(Datos!K18/Datos!J18),Datos!K18/Datos!J18," - ")</f>
        <v>0.56528189910979232</v>
      </c>
      <c r="BH18" s="903">
        <f>IF(ISNUMBER(((Datos!L18/Datos!K18)*11)/factor_trimestre),((Datos!L18/Datos!K18)*11)/factor_trimestre," - ")</f>
        <v>12.519685039370078</v>
      </c>
      <c r="BI18" s="899">
        <f>SUBTOTAL(9,BI15:BI17)</f>
        <v>0.25271739130434784</v>
      </c>
      <c r="BJ18" s="899">
        <f>SUBTOTAL(9,BJ15:BJ17)</f>
        <v>0</v>
      </c>
      <c r="BK18" s="899">
        <f>SUBTOTAL(9,BK15:BK17)</f>
        <v>0</v>
      </c>
      <c r="BL18" s="899">
        <f>IF(ISNUMBER((I18-AB18+L18)/(F18)),(I18-AB18+L18)/(F18)," - ")</f>
        <v>-0.30310262529832938</v>
      </c>
      <c r="BM18" s="905">
        <f>IF(ISNUMBER((Datos!P18-Datos!Q18)/(Datos!R18-Datos!P18+Datos!Q18)),(Datos!P18-Datos!Q18)/(Datos!R18-Datos!P18+Datos!Q18)," - ")</f>
        <v>3.896103896103896E-2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1267</v>
      </c>
      <c r="G19" s="820">
        <f t="shared" si="6"/>
        <v>1138</v>
      </c>
      <c r="H19" s="822">
        <f t="shared" si="6"/>
        <v>0</v>
      </c>
      <c r="I19" s="820">
        <f t="shared" si="6"/>
        <v>0</v>
      </c>
      <c r="J19" s="822">
        <f t="shared" si="6"/>
        <v>0</v>
      </c>
      <c r="K19" s="822">
        <f t="shared" si="6"/>
        <v>0</v>
      </c>
      <c r="L19" s="881">
        <f t="shared" si="6"/>
        <v>0</v>
      </c>
      <c r="M19" s="881">
        <f t="shared" si="6"/>
        <v>0</v>
      </c>
      <c r="N19" s="881">
        <f t="shared" si="6"/>
        <v>48</v>
      </c>
      <c r="O19" s="881">
        <f t="shared" si="6"/>
        <v>0</v>
      </c>
      <c r="P19" s="881">
        <f t="shared" si="6"/>
        <v>0</v>
      </c>
      <c r="Q19" s="822">
        <f t="shared" si="6"/>
        <v>123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385</v>
      </c>
      <c r="AC19" s="821">
        <f t="shared" si="7"/>
        <v>64</v>
      </c>
      <c r="AD19" s="821">
        <f t="shared" si="7"/>
        <v>0</v>
      </c>
      <c r="AE19" s="821">
        <f t="shared" si="7"/>
        <v>0</v>
      </c>
      <c r="AF19" s="828">
        <f t="shared" si="7"/>
        <v>1596</v>
      </c>
      <c r="AG19" s="828">
        <f t="shared" si="7"/>
        <v>0</v>
      </c>
      <c r="AH19" s="828">
        <f t="shared" si="7"/>
        <v>132</v>
      </c>
      <c r="AI19" s="828">
        <f t="shared" si="7"/>
        <v>0</v>
      </c>
      <c r="AJ19" s="821">
        <f t="shared" si="7"/>
        <v>0</v>
      </c>
      <c r="AK19" s="828">
        <f t="shared" si="7"/>
        <v>0</v>
      </c>
      <c r="AL19" s="828">
        <f t="shared" si="7"/>
        <v>0</v>
      </c>
      <c r="AM19" s="828">
        <f t="shared" si="7"/>
        <v>2646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280</v>
      </c>
      <c r="BD19" s="820">
        <f t="shared" si="7"/>
        <v>332</v>
      </c>
      <c r="BE19" s="820">
        <f t="shared" si="7"/>
        <v>0</v>
      </c>
      <c r="BF19" s="830">
        <f t="shared" si="7"/>
        <v>0</v>
      </c>
      <c r="BG19" s="915">
        <f>IF(ISNUMBER(Datos!K19/Datos!J19),Datos!K19/Datos!J19," - ")</f>
        <v>0.59626320064987814</v>
      </c>
      <c r="BH19" s="915">
        <f>IF(ISNUMBER(((Datos!L19/Datos!K19)*11)/factor_trimestre),((Datos!L19/Datos!K19)*11)/factor_trimestre," - ")</f>
        <v>20.705722070844686</v>
      </c>
      <c r="BI19" s="813">
        <f>IF(ISNUMBER(Datos!J19/Datos!I19),Datos!J19/Datos!I19," - ")</f>
        <v>0.27977272727272728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-0.30386740331491713</v>
      </c>
      <c r="BM19" s="889">
        <f>IF(ISNUMBER((Datos!P19-Datos!Q19+R19)/(Datos!R19-Datos!P19+Datos!Q19-R19)),(Datos!P19-Datos!Q19+R19)/(Datos!R19-Datos!P19+Datos!Q19-R19)," - ")</f>
        <v>2.2806339389253961E-2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455.2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719.95578567946336</v>
      </c>
      <c r="G21" s="552">
        <f>IF(ISNUMBER(STDEV(G8:G18)),STDEV(G8:G18),"-")</f>
        <v>596.21573276793026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201.37403010318883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81.860043163112664</v>
      </c>
      <c r="BD21" s="551"/>
      <c r="BE21" s="551">
        <f>IF(ISNUMBER(STDEV(BE8:BE18)),STDEV(BE8:BE18),"-")</f>
        <v>0</v>
      </c>
      <c r="BF21" s="556">
        <f>IF(ISNUMBER(STDEV(BF8:BF18)),STDEV(BF8:BF18),"-")</f>
        <v>0</v>
      </c>
      <c r="BG21" s="775">
        <f>IF(ISNUMBER(STDEV(BG8:BG18)),STDEV(BG8:BG18),"-")</f>
        <v>0.89384992077866865</v>
      </c>
      <c r="BH21" s="776">
        <f>IF(ISNUMBER(STDEV(BH8:BH18)),STDEV(BH8:BH18),"-")</f>
        <v>10.268480216189648</v>
      </c>
      <c r="BI21" s="249">
        <f>IF(ISNUMBER(STDEV(BI8:BI18)),STDEV(BI8:BI18),"-")</f>
        <v>0.1876071772376012</v>
      </c>
      <c r="BJ21" s="230" t="str">
        <f>IF(ISNUMBER(BL21/BM21),BL21/BM21," - ")</f>
        <v xml:space="preserve"> - </v>
      </c>
      <c r="BK21" s="575"/>
      <c r="BL21" s="559">
        <f>IF(ISNUMBER(STDEV(BL8:BL18)),STDEV(BL8:BL18),"-")</f>
        <v>6.851679073072503E-2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okJPmMdsu2GW10mMVPnMZsIUo+IvCtMSRzyEqBDG2HePR2RhMTx/X+LA7SCmk4/oCn1dgVv4ho6/rRDW3Jzqew==" saltValue="ayADIfV47o1TcBGqzSHn0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CADIZ  Resumenes por Partidos Judiciales  PUERTO REAL</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10</v>
      </c>
      <c r="G10" s="225">
        <f>IF(ISNUMBER(Datos!I10),Datos!I10," - ")</f>
        <v>10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v>
      </c>
      <c r="Z10" s="619">
        <f>IF(ISNUMBER(Datos!Q10),Datos!Q10," - ")</f>
        <v>0</v>
      </c>
      <c r="AA10" s="332">
        <f>IF(ISNUMBER(Datos!L10),Datos!L10,"-")</f>
        <v>6</v>
      </c>
      <c r="AB10" s="334"/>
      <c r="AC10" s="334"/>
      <c r="AD10" s="484"/>
      <c r="AE10" s="484">
        <f>IF(ISNUMBER(Datos!R10),Datos!R10," - ")</f>
        <v>1</v>
      </c>
      <c r="AF10" s="229" t="str">
        <f>IF(ISNUMBER(Datos!BV10),Datos!BV10," - ")</f>
        <v xml:space="preserve"> - </v>
      </c>
      <c r="AG10" s="225" t="str">
        <f>IF(ISNUMBER(Datos!DV10),Datos!DV10," - ")</f>
        <v xml:space="preserve"> - </v>
      </c>
      <c r="AH10" s="298"/>
      <c r="AI10" s="227"/>
      <c r="AJ10" s="225">
        <f>IF(ISNUMBER(Datos!M10),Datos!M10," - ")</f>
        <v>4</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110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60</v>
      </c>
      <c r="AA12" s="332" t="str">
        <f>IF(ISNUMBER(IF(J_V="SI",Datos!L12,Datos!L12+Datos!AB12)-IF(Monitorios="SI",Datos!CD12,0)),
                          IF(J_V="SI",Datos!L12,Datos!L12+Datos!AB12)-IF(Monitorios="SI",Datos!CD12,0),
                          " - ")</f>
        <v xml:space="preserve"> - </v>
      </c>
      <c r="AB12" s="334"/>
      <c r="AC12" s="334"/>
      <c r="AD12" s="484"/>
      <c r="AE12" s="484">
        <f>IF(ISNUMBER(Datos!R12),Datos!R12," - ")</f>
        <v>2405</v>
      </c>
      <c r="AF12" s="229" t="str">
        <f>IF(ISNUMBER(Datos!BV12),Datos!BV12," - ")</f>
        <v xml:space="preserve"> - </v>
      </c>
      <c r="AG12" s="225" t="str">
        <f>IF(ISNUMBER(Datos!DV12),Datos!DV12," - ")</f>
        <v xml:space="preserve"> - </v>
      </c>
      <c r="AH12" s="298"/>
      <c r="AI12" s="227"/>
      <c r="AJ12" s="225">
        <f>IF(ISNUMBER(Datos!M12),Datos!M12," - ")</f>
        <v>183</v>
      </c>
      <c r="AK12" s="229">
        <f>IF(ISNUMBER(Datos!N12),Datos!N12," - ")</f>
        <v>131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26.747524752475247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2.1231422505307854E-2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10</v>
      </c>
      <c r="G13" s="898">
        <f>SUBTOTAL(9,G8:G12)</f>
        <v>10</v>
      </c>
      <c r="H13" s="908"/>
      <c r="I13" s="898">
        <f t="shared" ref="I13:N13" si="0">SUBTOTAL(9,I8:I12)</f>
        <v>0</v>
      </c>
      <c r="J13" s="867">
        <f t="shared" si="0"/>
        <v>0</v>
      </c>
      <c r="K13" s="908">
        <f t="shared" si="0"/>
        <v>0</v>
      </c>
      <c r="L13" s="908">
        <f t="shared" si="0"/>
        <v>0</v>
      </c>
      <c r="M13" s="908">
        <f t="shared" si="0"/>
        <v>0</v>
      </c>
      <c r="N13" s="908">
        <f t="shared" si="0"/>
        <v>110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v>
      </c>
      <c r="Z13" s="907">
        <f t="shared" si="2"/>
        <v>60</v>
      </c>
      <c r="AA13" s="900">
        <f t="shared" si="2"/>
        <v>6</v>
      </c>
      <c r="AB13" s="900">
        <f t="shared" si="2"/>
        <v>0</v>
      </c>
      <c r="AC13" s="900">
        <f t="shared" si="2"/>
        <v>0</v>
      </c>
      <c r="AD13" s="900">
        <f t="shared" si="2"/>
        <v>0</v>
      </c>
      <c r="AE13" s="900">
        <f t="shared" si="2"/>
        <v>2406</v>
      </c>
      <c r="AF13" s="908">
        <f t="shared" si="2"/>
        <v>0</v>
      </c>
      <c r="AG13" s="908">
        <f t="shared" si="2"/>
        <v>0</v>
      </c>
      <c r="AH13" s="908">
        <f t="shared" si="2"/>
        <v>0</v>
      </c>
      <c r="AI13" s="908">
        <f t="shared" si="2"/>
        <v>0</v>
      </c>
      <c r="AJ13" s="908">
        <f t="shared" si="2"/>
        <v>187</v>
      </c>
      <c r="AK13" s="908">
        <f t="shared" si="2"/>
        <v>131</v>
      </c>
      <c r="AL13" s="908">
        <f t="shared" si="2"/>
        <v>0</v>
      </c>
      <c r="AM13" s="908">
        <f t="shared" si="2"/>
        <v>0</v>
      </c>
      <c r="AN13" s="908">
        <f t="shared" si="2"/>
        <v>0</v>
      </c>
      <c r="AO13" s="904">
        <f>IF(ISNUMBER(((NºAsuntos!I13/NºAsuntos!G13)*11)/factor_trimestre),((NºAsuntos!I13/NºAsuntos!G13)*11)/factor_trimestre," - ")</f>
        <v>26.529411764705884</v>
      </c>
      <c r="AP13" s="910" t="str">
        <f>IF(ISNUMBER(Datos!CI13/Datos!CJ13),Datos!CI13/Datos!CJ13," - ")</f>
        <v xml:space="preserve"> - </v>
      </c>
      <c r="AQ13" s="928">
        <f t="shared" ref="AQ13:AV13" si="3">SUBTOTAL(9,AQ9:AQ12)</f>
        <v>0</v>
      </c>
      <c r="AR13" s="928">
        <f t="shared" si="3"/>
        <v>2.1231422505307854E-2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1257</v>
      </c>
      <c r="G16" s="225">
        <f>IF(ISNUMBER(IF(D_I="SI",Datos!I16,Datos!I16+Datos!AC16)),IF(D_I="SI",Datos!I16,Datos!I16+Datos!AC16)," - ")</f>
        <v>1088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368</v>
      </c>
      <c r="Z16" s="619">
        <f>IF(ISNUMBER(Datos!Q16),Datos!Q16," - ")</f>
        <v>4</v>
      </c>
      <c r="AA16" s="332">
        <f>IF(ISNUMBER(IF(D_I="SI",Datos!L16,Datos!L16+Datos!AF16)),IF(D_I="SI",Datos!L16,Datos!L16+Datos!AF16)," - ")</f>
        <v>1558</v>
      </c>
      <c r="AB16" s="334"/>
      <c r="AC16" s="334"/>
      <c r="AD16" s="484"/>
      <c r="AE16" s="484">
        <f>IF(ISNUMBER(Datos!R16),Datos!R16," - ")</f>
        <v>233</v>
      </c>
      <c r="AF16" s="229" t="str">
        <f>IF(ISNUMBER(Datos!BV16),Datos!BV16," - ")</f>
        <v xml:space="preserve"> - </v>
      </c>
      <c r="AG16" s="225"/>
      <c r="AH16" s="298"/>
      <c r="AI16" s="227"/>
      <c r="AJ16" s="225">
        <f>IF(ISNUMBER(Datos!M16),Datos!M16," - ")</f>
        <v>93</v>
      </c>
      <c r="AK16" s="229">
        <f>IF(ISNUMBER(Datos!N16),Datos!N16," - ")</f>
        <v>195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12.70108695652174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13</v>
      </c>
      <c r="Z17" s="619">
        <f>IF(ISNUMBER(Datos!Q17),Datos!Q17," - ")</f>
        <v>0</v>
      </c>
      <c r="AA17" s="332">
        <f>IF(ISNUMBER(Datos!L17),Datos!L17,"-")</f>
        <v>32</v>
      </c>
      <c r="AB17" s="334"/>
      <c r="AC17" s="334"/>
      <c r="AD17" s="484"/>
      <c r="AE17" s="484">
        <f>IF(ISNUMBER(Datos!R17),Datos!R17," - ")</f>
        <v>7</v>
      </c>
      <c r="AF17" s="229" t="str">
        <f>IF(ISNUMBER(Datos!BV17),Datos!BV17," - ")</f>
        <v xml:space="preserve"> - </v>
      </c>
      <c r="AG17" s="225" t="str">
        <f>IF(ISNUMBER(Datos!DV17),Datos!DV17," - ")</f>
        <v xml:space="preserve"> - </v>
      </c>
      <c r="AH17" s="298"/>
      <c r="AI17" s="227"/>
      <c r="AJ17" s="225">
        <f>IF(ISNUMBER(Datos!M17),Datos!M17," - ")</f>
        <v>0</v>
      </c>
      <c r="AK17" s="229">
        <f>IF(ISNUMBER(Datos!N17),Datos!N17," - ")</f>
        <v>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7.3846153846153859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1257</v>
      </c>
      <c r="G18" s="898">
        <f>SUBTOTAL(9,G15:G17)</f>
        <v>1128</v>
      </c>
      <c r="H18" s="932">
        <f>SUBTOTAL(9,H15:H17)</f>
        <v>0</v>
      </c>
      <c r="I18" s="911">
        <f>SUBTOTAL(9,I15:I17)</f>
        <v>0</v>
      </c>
      <c r="J18" s="867">
        <f>SUBTOTAL(9,J14:J17)</f>
        <v>0</v>
      </c>
      <c r="K18" s="932">
        <f t="shared" ref="K18:S18" si="4">SUBTOTAL(9,K15:K17)</f>
        <v>0</v>
      </c>
      <c r="L18" s="932">
        <f t="shared" si="4"/>
        <v>0</v>
      </c>
      <c r="M18" s="932">
        <f t="shared" si="4"/>
        <v>0</v>
      </c>
      <c r="N18" s="932">
        <f t="shared" si="4"/>
        <v>13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381</v>
      </c>
      <c r="Z18" s="932">
        <f t="shared" si="5"/>
        <v>4</v>
      </c>
      <c r="AA18" s="932">
        <f t="shared" si="5"/>
        <v>1590</v>
      </c>
      <c r="AB18" s="932">
        <f t="shared" si="5"/>
        <v>0</v>
      </c>
      <c r="AC18" s="932">
        <f t="shared" si="5"/>
        <v>0</v>
      </c>
      <c r="AD18" s="932">
        <f t="shared" si="5"/>
        <v>0</v>
      </c>
      <c r="AE18" s="932">
        <f t="shared" si="5"/>
        <v>240</v>
      </c>
      <c r="AF18" s="932">
        <f t="shared" si="5"/>
        <v>0</v>
      </c>
      <c r="AG18" s="932">
        <f t="shared" si="5"/>
        <v>0</v>
      </c>
      <c r="AH18" s="932">
        <f t="shared" si="5"/>
        <v>0</v>
      </c>
      <c r="AI18" s="932">
        <f t="shared" si="5"/>
        <v>0</v>
      </c>
      <c r="AJ18" s="932">
        <f t="shared" si="5"/>
        <v>93</v>
      </c>
      <c r="AK18" s="932">
        <f t="shared" si="5"/>
        <v>201</v>
      </c>
      <c r="AL18" s="932">
        <f t="shared" si="5"/>
        <v>0</v>
      </c>
      <c r="AM18" s="932">
        <f t="shared" si="5"/>
        <v>0</v>
      </c>
      <c r="AN18" s="932">
        <f t="shared" si="5"/>
        <v>0</v>
      </c>
      <c r="AO18" s="934">
        <f>IF(ISNUMBER(((NºAsuntos!I18/NºAsuntos!G18)*11)/factor_trimestre),((NºAsuntos!I18/NºAsuntos!G18)*11)/factor_trimestre," - ")</f>
        <v>12.519685039370078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1267</v>
      </c>
      <c r="G19" s="820">
        <f t="shared" si="7"/>
        <v>1138</v>
      </c>
      <c r="H19" s="821">
        <f t="shared" si="7"/>
        <v>0</v>
      </c>
      <c r="I19" s="820">
        <f t="shared" si="7"/>
        <v>0</v>
      </c>
      <c r="J19" s="822">
        <f t="shared" si="7"/>
        <v>0</v>
      </c>
      <c r="K19" s="820">
        <f t="shared" si="7"/>
        <v>0</v>
      </c>
      <c r="L19" s="823">
        <f t="shared" si="7"/>
        <v>0</v>
      </c>
      <c r="M19" s="820">
        <f t="shared" si="7"/>
        <v>0</v>
      </c>
      <c r="N19" s="821">
        <f t="shared" si="7"/>
        <v>123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385</v>
      </c>
      <c r="Z19" s="827">
        <f t="shared" si="8"/>
        <v>64</v>
      </c>
      <c r="AA19" s="828">
        <f t="shared" si="8"/>
        <v>1596</v>
      </c>
      <c r="AB19" s="828">
        <f t="shared" si="8"/>
        <v>0</v>
      </c>
      <c r="AC19" s="828">
        <f t="shared" si="8"/>
        <v>0</v>
      </c>
      <c r="AD19" s="829">
        <f t="shared" si="8"/>
        <v>0</v>
      </c>
      <c r="AE19" s="829">
        <f t="shared" si="8"/>
        <v>2646</v>
      </c>
      <c r="AF19" s="830">
        <f t="shared" si="8"/>
        <v>0</v>
      </c>
      <c r="AG19" s="831">
        <f t="shared" si="8"/>
        <v>0</v>
      </c>
      <c r="AH19" s="832">
        <f t="shared" si="8"/>
        <v>0</v>
      </c>
      <c r="AI19" s="830">
        <f t="shared" si="8"/>
        <v>0</v>
      </c>
      <c r="AJ19" s="820">
        <f t="shared" si="8"/>
        <v>280</v>
      </c>
      <c r="AK19" s="820">
        <f t="shared" si="8"/>
        <v>332</v>
      </c>
      <c r="AL19" s="820">
        <f t="shared" si="8"/>
        <v>0</v>
      </c>
      <c r="AM19" s="833">
        <f t="shared" si="8"/>
        <v>0</v>
      </c>
      <c r="AN19" s="823">
        <f>IF(ISNUMBER(Datos!K19/Datos!J19),Datos!K19/Datos!J19," - ")</f>
        <v>0.59626320064987814</v>
      </c>
      <c r="AO19" s="823">
        <f>IF(ISNUMBER(FIND("06",Criterios!A8,1)),(IF(ISNUMBER(((Datos!R19/Datos!Q19)*11)/factor_trimestre),((Datos!R19/Datos!Q19)*11)/factor_trimestre," - ")),(IF(ISNUMBER(((Datos!L19/Datos!K19)*11)/factor_trimestre),((Datos!L19/Datos!K19)*11)/factor_trimestre," - ")))</f>
        <v>20.705722070844686</v>
      </c>
      <c r="AP19" s="834" t="str">
        <f>IF(ISNUMBER(Datos!CI19/Datos!CJ19),Datos!CI19/Datos!CJ19," - ")</f>
        <v xml:space="preserve"> - </v>
      </c>
      <c r="AQ19" s="834">
        <f>IF(OR(ISNUMBER(FIND("01",Criterios!A8,1)),ISNUMBER(FIND("02",Criterios!A8,1)),ISNUMBER(FIND("03",Criterios!A8,1)),ISNUMBER(FIND("04",Criterios!A8,1))),(J19-Y19+K19)/(F19-K19),(I19-Y19+K19)/(F19-K19))</f>
        <v>-0.30386740331491713</v>
      </c>
      <c r="AR19" s="834">
        <f>IF(ISNUMBER((Datos!P19-Datos!Q19+O19)/(Datos!R19-Datos!P19+Datos!Q19-O19)),(Datos!P19-Datos!Q19+O19)/(Datos!R19-Datos!P19+Datos!Q19-O19)," - ")</f>
        <v>2.2806339389253961E-2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455.2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719.95578567946336</v>
      </c>
      <c r="G21" s="552">
        <f>IF(ISNUMBER(STDEV(G8:G18)),STDEV(G8:G18),"-")</f>
        <v>596.21573276793026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81.860043163112664</v>
      </c>
      <c r="AK21" s="252"/>
      <c r="AL21" s="252">
        <f>IF(ISNUMBER(STDEV(AL8:AL18)),STDEV(AL8:AL18),"-")</f>
        <v>0</v>
      </c>
      <c r="AM21" s="254">
        <f>IF(ISNUMBER(STDEV(AM8:AM18)),STDEV(AM8:AM18),"-")</f>
        <v>0</v>
      </c>
      <c r="AN21" s="539">
        <f>IF(ISNUMBER(STDEV(AN8:AN18)),STDEV(AN8:AN18),"-")</f>
        <v>0</v>
      </c>
      <c r="AO21" s="540">
        <f>IF(ISNUMBER(STDEV(AO8:AO18)),STDEV(AO8:AO18),"-")</f>
        <v>9.4930327909332455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xFuxepEKsAzgr+s3HhbRg2A+O2utOPkZPlaVVnH+TAZCEBcClfUhpqxIPHKC9Zp4R+ALZ3mtVeZIOWtpT9iZzQ==" saltValue="CyJdogMg0HYcmeK/STuyK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Nyn3F5EtwHQ/+h1nAqf4p0ePOKxC//jsnbglwD02pPYNfOhwcDi0Gi3aj2dRngLK0NVEdT+YdDFG/W7UaljnIA==" saltValue="i58ZqtKOUtNKkQwUkkRuz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IPB3Al51F8NU+koNOwgYV8YhkbWEGH0QNhCDpgewzaD0thMKo5JUgvSes5KGSNi1M19uXWTDniFNj3goYChDA==" saltValue="UcgHC9xuVEFFfqoyiAAMw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CADIZ  Resumenes por Partidos Judiciales  PUERTO REAL</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0.45833333333333331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0.32409060804383427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evtKRbjIqRS0oT/NfeUtN2oXfc6iKzP84WTlZ8nNWwyReoCxnOWQZnegkVd5x1ESYgq9daQD+/QlI4JZQC/sSw==" saltValue="SGGTwJ9oqSbvpFH2mfNDK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dUcF6fGDbY2x544+OSJCITZRefngIEKjiUKVxzKH2rK8mvIjWHvwjVvh0f20rAIoGSJOyGwp9HACcYeBe9mlqQ==" saltValue="GSk9MZ/st5C299QvuO7j9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CADIZ</v>
      </c>
      <c r="D3" s="375"/>
      <c r="E3" s="375"/>
      <c r="F3" s="375"/>
      <c r="BQ3" s="471"/>
    </row>
    <row r="4" spans="1:69" ht="13.5" thickBot="1">
      <c r="A4" s="375"/>
      <c r="B4" s="391" t="str">
        <f>Criterios!A11 &amp;"  "&amp;Criterios!B11</f>
        <v>Resumenes por Partidos Judiciales  PUERTO REAL</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10</v>
      </c>
      <c r="D10" s="404">
        <f>IF(ISNUMBER(C10/Datos!BH10),C10/Datos!BH10," - ")</f>
        <v>10</v>
      </c>
      <c r="E10" s="403">
        <f>IF(ISNUMBER(Datos!J10),Datos!J10," - ")</f>
        <v>0</v>
      </c>
      <c r="F10" s="404">
        <f>IF(ISNUMBER(E10/B10),E10/B10," - ")</f>
        <v>0</v>
      </c>
      <c r="G10" s="403">
        <f>IF(ISNUMBER(Datos!K10),Datos!K10," - ")</f>
        <v>4</v>
      </c>
      <c r="H10" s="404">
        <f>IF(ISNUMBER(G10/B10),G10/B10," - ")</f>
        <v>4</v>
      </c>
      <c r="I10" s="403">
        <f>IF(ISNUMBER(Datos!L10),Datos!L10," - ")</f>
        <v>6</v>
      </c>
      <c r="J10" s="404">
        <f>IF(ISNUMBER(I10/B10),I10/B10," - ")</f>
        <v>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3401</v>
      </c>
      <c r="D12" s="404">
        <f>IF(ISNUMBER(C12/Datos!BH12),C12/Datos!BH12," - ")</f>
        <v>1700.5</v>
      </c>
      <c r="E12" s="403">
        <f>IF(ISNUMBER(IF(J_V="SI",Datos!J12,Datos!J12+Datos!Z12)),IF(J_V="SI",Datos!J12,Datos!J12+Datos!Z12)," - ")</f>
        <v>605</v>
      </c>
      <c r="F12" s="404">
        <f>IF(ISNUMBER(E12/B12),E12/B12," - ")</f>
        <v>302.5</v>
      </c>
      <c r="G12" s="403">
        <f>IF(ISNUMBER(IF(J_V="SI",Datos!K12,Datos!K12+Datos!AA12)),IF(J_V="SI",Datos!K12,Datos!K12+Datos!AA12)," - ")</f>
        <v>404</v>
      </c>
      <c r="H12" s="404">
        <f>IF(ISNUMBER(G12/B12),G12/B12," - ")</f>
        <v>202</v>
      </c>
      <c r="I12" s="403">
        <f>IF(ISNUMBER(IF(J_V="SI",Datos!L12,Datos!L12+Datos!AB12)),IF(J_V="SI",Datos!L12,Datos!L12+Datos!AB12)," - ")</f>
        <v>3602</v>
      </c>
      <c r="J12" s="404">
        <f>IF(ISNUMBER(I12/B12),I12/B12," - ")</f>
        <v>1801</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3411</v>
      </c>
      <c r="D13" s="850" t="str">
        <f>IF(ISNUMBER(C13/Datos!BI13),C13/Datos!BI13," - ")</f>
        <v xml:space="preserve"> - </v>
      </c>
      <c r="E13" s="849">
        <f>SUBTOTAL(9,E8:E12)</f>
        <v>605</v>
      </c>
      <c r="F13" s="850">
        <f>IF(ISNUMBER(E13/B13),E13/B13," - ")</f>
        <v>302.5</v>
      </c>
      <c r="G13" s="849">
        <f>SUBTOTAL(9,G8:G12)</f>
        <v>408</v>
      </c>
      <c r="H13" s="850">
        <f>IF(ISNUMBER(G13/B13),G13/B13," - ")</f>
        <v>204</v>
      </c>
      <c r="I13" s="849">
        <f>SUBTOTAL(9,I8:I12)</f>
        <v>3608</v>
      </c>
      <c r="J13" s="850">
        <f>IF(ISNUMBER(I13/B13),I13/B13," - ")</f>
        <v>1804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1088</v>
      </c>
      <c r="D16" s="404">
        <f>IF(ISNUMBER(C16/Datos!BH16),C16/Datos!BH16," - ")</f>
        <v>544</v>
      </c>
      <c r="E16" s="403">
        <f>IF(ISNUMBER(IF(D_I="SI",Datos!J16,Datos!J16+Datos!AD16)),IF(D_I="SI",Datos!J16,Datos!J16+Datos!AD16)," - ")</f>
        <v>669</v>
      </c>
      <c r="F16" s="404">
        <f>IF(ISNUMBER(E16/B16),E16/B16," - ")</f>
        <v>334.5</v>
      </c>
      <c r="G16" s="403">
        <f>IF(ISNUMBER(IF(D_I="SI",Datos!K16,Datos!K16+Datos!AE16)),IF(D_I="SI",Datos!K16,Datos!K16+Datos!AE16)," - ")</f>
        <v>368</v>
      </c>
      <c r="H16" s="404">
        <f>IF(ISNUMBER(G16/B16),G16/B16," - ")</f>
        <v>184</v>
      </c>
      <c r="I16" s="403">
        <f>IF(ISNUMBER(IF(D_I="SI",Datos!L16,Datos!L16+Datos!AF16)),IF(D_I="SI",Datos!L16,Datos!L16+Datos!AF16)," - ")</f>
        <v>1558</v>
      </c>
      <c r="J16" s="404">
        <f>IF(ISNUMBER(I16/B16),I16/B16," - ")</f>
        <v>779</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40</v>
      </c>
      <c r="D17" s="404">
        <f>IF(ISNUMBER(C17/Datos!BH17),C17/Datos!BH17," - ")</f>
        <v>40</v>
      </c>
      <c r="E17" s="403">
        <f>IF(ISNUMBER(IF(D_I="SI",Datos!J17,Datos!J17+Datos!AD17)),IF(D_I="SI",Datos!J17,Datos!J17+Datos!AD17)," - ")</f>
        <v>5</v>
      </c>
      <c r="F17" s="404">
        <f>IF(ISNUMBER(E17/B17),E17/B17," - ")</f>
        <v>5</v>
      </c>
      <c r="G17" s="403">
        <f>IF(ISNUMBER(IF(D_I="SI",Datos!K17,Datos!K17+Datos!AE17)),IF(D_I="SI",Datos!K17,Datos!K17+Datos!AE17)," - ")</f>
        <v>13</v>
      </c>
      <c r="H17" s="404">
        <f>IF(ISNUMBER(G17/B17),G17/B17," - ")</f>
        <v>13</v>
      </c>
      <c r="I17" s="403">
        <f>IF(ISNUMBER(IF(D_I="SI",Datos!L17,Datos!L17+Datos!AF17)),IF(D_I="SI",Datos!L17,Datos!L17+Datos!AF17)," - ")</f>
        <v>32</v>
      </c>
      <c r="J17" s="404">
        <f>IF(ISNUMBER(I17/B17),I17/B17," - ")</f>
        <v>32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1128</v>
      </c>
      <c r="D18" s="850" t="str">
        <f>IF(ISNUMBER(C18/Datos!BI18),C18/Datos!BI18," - ")</f>
        <v xml:space="preserve"> - </v>
      </c>
      <c r="E18" s="849">
        <f>SUBTOTAL(9,E14:E17)</f>
        <v>674</v>
      </c>
      <c r="F18" s="850">
        <f>IF(ISNUMBER(E18/B18),E18/B18," - ")</f>
        <v>337</v>
      </c>
      <c r="G18" s="849">
        <f>SUBTOTAL(9,G14:G17)</f>
        <v>381</v>
      </c>
      <c r="H18" s="850">
        <f>IF(ISNUMBER(G18/B18),G18/B18," - ")</f>
        <v>190.5</v>
      </c>
      <c r="I18" s="849">
        <f>SUBTOTAL(9,I14:I17)</f>
        <v>1590</v>
      </c>
      <c r="J18" s="850">
        <f>IF(ISNUMBER(I18/B18),I18/B18," - ")</f>
        <v>795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4539</v>
      </c>
      <c r="D19" s="795" t="str">
        <f>IF(ISNUMBER(C19/Datos!BI19),C19/Datos!BI19," - ")</f>
        <v xml:space="preserve"> - </v>
      </c>
      <c r="E19" s="794">
        <f>SUBTOTAL(9,E9:E18)</f>
        <v>1279</v>
      </c>
      <c r="F19" s="795">
        <f>IF(ISNUMBER(E19/B19),E19/B19," - ")</f>
        <v>639.5</v>
      </c>
      <c r="G19" s="794">
        <f>SUBTOTAL(9,G9:G18)</f>
        <v>789</v>
      </c>
      <c r="H19" s="795">
        <f>IF(ISNUMBER(G19/B19),G19/B19," - ")</f>
        <v>394.5</v>
      </c>
      <c r="I19" s="794">
        <f>SUBTOTAL(9,I9:I18)</f>
        <v>5198</v>
      </c>
      <c r="J19" s="795">
        <f>IF(ISNUMBER(I19/B19),I19/B19," - ")</f>
        <v>2599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9ZoHDd2g8SuCCEpJ3zoIiKqEyJozC7vtvYA5DXK5Big5OMZXmSBqyWgbb22FEM0ig7zGwCtBWB4alm9Zdis3ow==" saltValue="jgsSoYweePRe5ScIk4Mhg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CADIZ  Resumenes por Partidos Judiciales  PUERTO REAL</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10</v>
      </c>
      <c r="G10" s="684">
        <f>IF(ISNUMBER(Datos!I10),Datos!I10," - ")</f>
        <v>10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v>
      </c>
      <c r="AC10" s="683" t="str">
        <f>IF(ISNUMBER(IF(D_I="SI",DatosP!K17,DatosP!K17+DatosP!AE17)),IF(D_I="SI",DatosP!K17,DatosP!K17+DatosP!AE17)," - ")</f>
        <v xml:space="preserve"> - </v>
      </c>
      <c r="AD10" s="685"/>
      <c r="AE10" s="685"/>
      <c r="AF10" s="688">
        <f>IF(ISNUMBER(Datos!L10),Datos!L10,"-")</f>
        <v>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4.5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110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60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2405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183</v>
      </c>
      <c r="AM12" s="690">
        <f>IF(ISNUMBER(Datos!N12+DatosP!N16),Datos!N12+DatosP!N16," - ")</f>
        <v>131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26.747524752475247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2.1231422505307854E-2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10</v>
      </c>
      <c r="G13" s="938">
        <f t="shared" si="0"/>
        <v>10</v>
      </c>
      <c r="H13" s="938">
        <f t="shared" si="0"/>
        <v>0</v>
      </c>
      <c r="I13" s="940">
        <f t="shared" si="0"/>
        <v>0</v>
      </c>
      <c r="J13" s="939">
        <f t="shared" si="0"/>
        <v>0</v>
      </c>
      <c r="K13" s="939">
        <f t="shared" si="0"/>
        <v>0</v>
      </c>
      <c r="L13" s="941">
        <f t="shared" si="0"/>
        <v>0</v>
      </c>
      <c r="M13" s="941">
        <f t="shared" si="0"/>
        <v>0</v>
      </c>
      <c r="N13" s="939">
        <f t="shared" si="0"/>
        <v>110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v>
      </c>
      <c r="AC13" s="939">
        <f t="shared" si="1"/>
        <v>0</v>
      </c>
      <c r="AD13" s="939">
        <f t="shared" si="1"/>
        <v>60</v>
      </c>
      <c r="AE13" s="939">
        <f t="shared" si="1"/>
        <v>0</v>
      </c>
      <c r="AF13" s="939">
        <f t="shared" si="1"/>
        <v>6</v>
      </c>
      <c r="AG13" s="939">
        <f t="shared" si="1"/>
        <v>0</v>
      </c>
      <c r="AH13" s="939">
        <f t="shared" si="1"/>
        <v>2405</v>
      </c>
      <c r="AI13" s="939">
        <f t="shared" si="1"/>
        <v>0</v>
      </c>
      <c r="AJ13" s="939">
        <f t="shared" si="1"/>
        <v>0</v>
      </c>
      <c r="AK13" s="939">
        <f t="shared" si="1"/>
        <v>0</v>
      </c>
      <c r="AL13" s="939">
        <f t="shared" si="1"/>
        <v>187</v>
      </c>
      <c r="AM13" s="939">
        <f t="shared" si="1"/>
        <v>131</v>
      </c>
      <c r="AN13" s="939">
        <f t="shared" si="1"/>
        <v>0</v>
      </c>
      <c r="AO13" s="939">
        <f t="shared" si="1"/>
        <v>0</v>
      </c>
      <c r="AP13" s="944">
        <f>IF(ISNUMBER(((Datos!L13/Datos!K13)*11)/factor_trimestre),((Datos!L13/Datos!K13)*11)/factor_trimestre," - ")</f>
        <v>29.541076487252127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v>
      </c>
      <c r="AU13" s="939" t="str">
        <f>IF(ISNUMBER((DatosP!#REF!-DatosP!#REF!+DatosP!#REF!)/(DatosP!#REF!+DatosP!#REF!-DatosP!#REF!-DatosP!#REF!)),(DatosP!#REF!-DatosP!#REF!+DatosP!#REF!)/(DatosP!#REF!+DatosP!#REF!-DatosP!#REF!-DatosP!#REF!)," - ")</f>
        <v xml:space="preserve"> - </v>
      </c>
      <c r="AV13" s="945">
        <f>SUBTOTAL(9,AV9:AV12)</f>
        <v>2.1231422505307854E-2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12.519685039370078</v>
      </c>
      <c r="AQ18" s="944">
        <f>IF(ISNUMBER(((Datos!M18/Datos!L18)*11)/factor_trimestre),((Datos!M18/Datos!L18)*11)/factor_trimestre," - ")</f>
        <v>0.17547169811320754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3.896103896103896E-2</v>
      </c>
      <c r="AW18" s="946">
        <f>IF(ISNUMBER((Datos!Q18-Datos!R18)/(Datos!S18-Datos!Q18+Datos!R18)),(Datos!Q18-Datos!R18)/(Datos!S18-Datos!Q18+Datos!R18)," - ")</f>
        <v>-0.20468343451864701</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10</v>
      </c>
      <c r="G19" s="951">
        <f t="shared" si="4"/>
        <v>10</v>
      </c>
      <c r="H19" s="951">
        <f t="shared" si="4"/>
        <v>0</v>
      </c>
      <c r="I19" s="952">
        <f t="shared" si="4"/>
        <v>0</v>
      </c>
      <c r="J19" s="953">
        <f t="shared" si="4"/>
        <v>0</v>
      </c>
      <c r="K19" s="953">
        <f t="shared" si="4"/>
        <v>0</v>
      </c>
      <c r="L19" s="953">
        <f t="shared" si="4"/>
        <v>0</v>
      </c>
      <c r="M19" s="953">
        <f t="shared" si="4"/>
        <v>0</v>
      </c>
      <c r="N19" s="952">
        <f t="shared" si="4"/>
        <v>110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v>
      </c>
      <c r="AC19" s="957">
        <f t="shared" si="5"/>
        <v>0</v>
      </c>
      <c r="AD19" s="957">
        <f t="shared" si="5"/>
        <v>60</v>
      </c>
      <c r="AE19" s="957">
        <f t="shared" si="5"/>
        <v>0</v>
      </c>
      <c r="AF19" s="958">
        <f t="shared" si="5"/>
        <v>6</v>
      </c>
      <c r="AG19" s="958">
        <f t="shared" si="5"/>
        <v>0</v>
      </c>
      <c r="AH19" s="958">
        <f t="shared" si="5"/>
        <v>2405</v>
      </c>
      <c r="AI19" s="958">
        <f t="shared" si="5"/>
        <v>0</v>
      </c>
      <c r="AJ19" s="959">
        <f t="shared" si="5"/>
        <v>0</v>
      </c>
      <c r="AK19" s="959">
        <f t="shared" si="5"/>
        <v>0</v>
      </c>
      <c r="AL19" s="951">
        <f t="shared" si="5"/>
        <v>187</v>
      </c>
      <c r="AM19" s="951">
        <f t="shared" si="5"/>
        <v>131</v>
      </c>
      <c r="AN19" s="951">
        <f t="shared" si="5"/>
        <v>0</v>
      </c>
      <c r="AO19" s="951">
        <f t="shared" si="5"/>
        <v>0</v>
      </c>
      <c r="AP19" s="951">
        <f>IF(ISNUMBER(((Datos!L19/Datos!K19)*11)/factor_trimestre),((Datos!L19/Datos!K19)*11)/factor_trimestre," - ")</f>
        <v>20.705722070844686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2.2806339389253961E-2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6.666666666666667</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5.7735026918962573</v>
      </c>
      <c r="G21" s="737">
        <f>IF(ISNUMBER(STDEV(G8:G18)),STDEV(G8:G18),"-")</f>
        <v>5.7735026918962573</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2.3094010767585034</v>
      </c>
      <c r="AC21" s="738">
        <f>IF(ISNUMBER(STDEV(AC8:AC18)),STDEV(AC8:AC18),"-")</f>
        <v>0</v>
      </c>
      <c r="AD21" s="741"/>
      <c r="AE21" s="741"/>
      <c r="AF21" s="741"/>
      <c r="AG21" s="741"/>
      <c r="AH21" s="741"/>
      <c r="AI21" s="741"/>
      <c r="AJ21" s="742">
        <f>IF(ISNUMBER(STDEV(AJ8:AJ18)),STDEV(AJ8:AJ18),"-")</f>
        <v>0</v>
      </c>
      <c r="AK21" s="744"/>
      <c r="AL21" s="736">
        <f>IF(ISNUMBER(STDEV(AL8:AL18)),STDEV(AL8:AL18),"-")</f>
        <v>105.68033560380726</v>
      </c>
      <c r="AM21" s="736"/>
      <c r="AN21" s="736">
        <f>IF(ISNUMBER(STDEV(AN8:AN18)),STDEV(AN8:AN18),"-")</f>
        <v>0</v>
      </c>
      <c r="AO21" s="742">
        <f>IF(ISNUMBER(STDEV(AO8:AO18)),STDEV(AO8:AO18),"-")</f>
        <v>0</v>
      </c>
      <c r="AP21" s="779">
        <f>IF(ISNUMBER(STDEV(AP8:AP18)),STDEV(AP8:AP18),"-")</f>
        <v>11.854276086437569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Nu2NBBKRZAiUaCYV3WHnlhi5MYA7fq5Zz6rlZrSdh4vcu/+mJpxs5nNXWGCMPFI9AAAUlrXjzPp+YI1aTdgUxg==" saltValue="dgGuSgLsw4ooSRrIh9/O9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CADIZ</v>
      </c>
      <c r="C3" s="415"/>
      <c r="F3" s="375"/>
      <c r="G3" s="375"/>
      <c r="H3" s="375"/>
    </row>
    <row r="4" spans="1:15" ht="13.5" thickBot="1">
      <c r="A4" s="375"/>
      <c r="B4" s="391" t="str">
        <f>Criterios!A11 &amp;"  "&amp;Criterios!B11</f>
        <v>Resumenes por Partidos Judiciales  PUERTO REAL</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uyFYzwP9rb2GlI/eXQR9cepS1bUphKUrUnXyVE/yF0+0wuNj1zTxb33cDXXDSfya8I0WwwbVgonGXRkDUGF6yA==" saltValue="47Pw1WSycHySAh5kLLEEU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CADIZ</v>
      </c>
      <c r="C3" s="391"/>
      <c r="D3" s="425"/>
      <c r="BZ3" s="471"/>
    </row>
    <row r="4" spans="1:78" ht="13.5" thickBot="1">
      <c r="B4" s="391" t="str">
        <f>Criterios!A11 &amp;"  "&amp;Criterios!B11</f>
        <v>Resumenes por Partidos Judiciales  PUERTO REAL</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4</v>
      </c>
      <c r="E10" s="404">
        <f>IF(ISNUMBER(D10/B10),D10/B10," - ")</f>
        <v>4</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183</v>
      </c>
      <c r="E12" s="404">
        <f t="shared" si="0"/>
        <v>91.5</v>
      </c>
      <c r="F12" s="403">
        <f>IF(ISNUMBER(Datos!N12),Datos!N12," - ")</f>
        <v>131</v>
      </c>
      <c r="G12" s="404">
        <f t="shared" si="1"/>
        <v>65.5</v>
      </c>
      <c r="H12" s="403">
        <f>IF(ISNUMBER(Datos!O12),Datos!O12," - ")</f>
        <v>141</v>
      </c>
      <c r="I12" s="404">
        <f t="shared" si="2"/>
        <v>70.5</v>
      </c>
      <c r="BZ12" s="1186">
        <f>Datos!EZ12</f>
        <v>0</v>
      </c>
    </row>
    <row r="13" spans="1:78" ht="14.25" thickTop="1" thickBot="1">
      <c r="A13" s="848" t="str">
        <f>Datos!A13</f>
        <v>TOTAL</v>
      </c>
      <c r="B13" s="849">
        <f>Datos!AP13</f>
        <v>2</v>
      </c>
      <c r="C13" s="851">
        <f>Datos!AR13</f>
        <v>2</v>
      </c>
      <c r="D13" s="849">
        <f>SUBTOTAL(9,D9:D12)</f>
        <v>187</v>
      </c>
      <c r="E13" s="850">
        <f t="shared" si="0"/>
        <v>93.5</v>
      </c>
      <c r="F13" s="849">
        <f>SUBTOTAL(9,F9:F12)</f>
        <v>131</v>
      </c>
      <c r="G13" s="850">
        <f t="shared" si="1"/>
        <v>65.5</v>
      </c>
      <c r="H13" s="849">
        <f>SUBTOTAL(9,H9:H12)</f>
        <v>141</v>
      </c>
      <c r="I13" s="850">
        <f>IF(ISNUMBER(H13/B13),H13/B13," - ")</f>
        <v>70.5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93</v>
      </c>
      <c r="E16" s="404">
        <f t="shared" si="3"/>
        <v>46.5</v>
      </c>
      <c r="F16" s="403">
        <f>IF(ISNUMBER(Datos!N16),Datos!N16," - ")</f>
        <v>195</v>
      </c>
      <c r="G16" s="404">
        <f t="shared" si="4"/>
        <v>97.5</v>
      </c>
      <c r="H16" s="403">
        <f>IF(ISNUMBER(Datos!O16),Datos!O16," - ")</f>
        <v>4</v>
      </c>
      <c r="I16" s="404">
        <f t="shared" si="5"/>
        <v>2</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6</v>
      </c>
      <c r="G17" s="404">
        <f>IF(ISNUMBER(F17/B17),F17/B17," - ")</f>
        <v>6</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93</v>
      </c>
      <c r="E18" s="850">
        <f t="shared" si="3"/>
        <v>46.5</v>
      </c>
      <c r="F18" s="849">
        <f>SUBTOTAL(9,F15:F17)</f>
        <v>201</v>
      </c>
      <c r="G18" s="850">
        <f t="shared" si="4"/>
        <v>100.5</v>
      </c>
      <c r="H18" s="849">
        <f>SUBTOTAL(9,H15:H17)</f>
        <v>4</v>
      </c>
      <c r="I18" s="850">
        <f>IF(ISNUMBER(H18/B18),H18/B18," - ")</f>
        <v>2</v>
      </c>
      <c r="BZ18" s="1186"/>
    </row>
    <row r="19" spans="1:78" ht="14.25" thickTop="1" thickBot="1">
      <c r="A19" s="793" t="str">
        <f>Datos!A19</f>
        <v>TOTAL JURISDICCIONES</v>
      </c>
      <c r="B19" s="794">
        <f>Datos!AP19</f>
        <v>2</v>
      </c>
      <c r="C19" s="794">
        <f>Datos!AR19</f>
        <v>2</v>
      </c>
      <c r="D19" s="794">
        <f>SUBTOTAL(9,D8:D18)</f>
        <v>280</v>
      </c>
      <c r="E19" s="795">
        <f>IF(ISNUMBER(D19/B19),D19/B19," - ")</f>
        <v>140</v>
      </c>
      <c r="F19" s="794">
        <f>SUBTOTAL(9,F8:F18)</f>
        <v>332</v>
      </c>
      <c r="G19" s="795">
        <f>IF(ISNUMBER(F19/B19),F19/B19," - ")</f>
        <v>166</v>
      </c>
      <c r="H19" s="794">
        <f>SUBTOTAL(9,H8:H18)</f>
        <v>145</v>
      </c>
      <c r="I19" s="795">
        <f>IF(ISNUMBER(H19/B19),H19/B19," - ")</f>
        <v>72.5</v>
      </c>
    </row>
    <row r="22" spans="1:78">
      <c r="A22" s="391" t="str">
        <f>Criterios!A4</f>
        <v>Fecha Informe: 27 feb. 2025</v>
      </c>
    </row>
    <row r="27" spans="1:78">
      <c r="A27" s="414"/>
    </row>
  </sheetData>
  <sheetProtection algorithmName="SHA-512" hashValue="uStMChVmvCM+9uZcWrcLZK3dQaAQY+LNrdp+kCwqF3fN6h14d5uugC4OjeGtSXEqmYXJeXakIR/fkyi4QgpAYQ==" saltValue="dKoRChAqTzoP4u86CyZc7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CADIZ</v>
      </c>
    </row>
    <row r="4" spans="1:4" ht="13.5" thickBot="1">
      <c r="B4" s="391" t="str">
        <f>Criterios!A11 &amp;"  "&amp;Criterios!B11</f>
        <v>Resumenes por Partidos Judiciales  PUERTO REAL</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110</v>
      </c>
      <c r="C12" s="434">
        <f>IF(ISNUMBER(Datos!Q12),Datos!Q12," - ")</f>
        <v>60</v>
      </c>
      <c r="D12" s="408">
        <f>IF(ISNUMBER(Datos!R12),Datos!R12," - ")</f>
        <v>2405</v>
      </c>
    </row>
    <row r="13" spans="1:4" ht="14.25" thickTop="1" thickBot="1">
      <c r="A13" s="848" t="str">
        <f>Datos!A13</f>
        <v>TOTAL</v>
      </c>
      <c r="B13" s="849">
        <f>SUBTOTAL(9,B9:B12)</f>
        <v>110</v>
      </c>
      <c r="C13" s="853">
        <f>SUBTOTAL(9,C9:C12)</f>
        <v>60</v>
      </c>
      <c r="D13" s="851">
        <f>SUBTOTAL(9,D9:D12)</f>
        <v>2406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13</v>
      </c>
      <c r="C16" s="434">
        <f>IF(ISNUMBER(Datos!Q16),Datos!Q16," - ")</f>
        <v>4</v>
      </c>
      <c r="D16" s="408">
        <f>IF(ISNUMBER(Datos!R16),Datos!R16," - ")</f>
        <v>233</v>
      </c>
    </row>
    <row r="17" spans="1:4" ht="13.5" thickBot="1">
      <c r="A17" s="402" t="str">
        <f>Datos!A17</f>
        <v>Jdos. Violencia contra la mujer</v>
      </c>
      <c r="B17" s="433">
        <f>IF(ISNUMBER(Datos!P17),Datos!P17," - ")</f>
        <v>0</v>
      </c>
      <c r="C17" s="434">
        <f>IF(ISNUMBER(Datos!Q17),Datos!Q17," - ")</f>
        <v>0</v>
      </c>
      <c r="D17" s="408">
        <f>IF(ISNUMBER(Datos!R17),Datos!R17," - ")</f>
        <v>7</v>
      </c>
    </row>
    <row r="18" spans="1:4" ht="14.25" thickTop="1" thickBot="1">
      <c r="A18" s="848" t="str">
        <f>Datos!A18</f>
        <v>TOTAL</v>
      </c>
      <c r="B18" s="849">
        <f>SUBTOTAL(9,B15:B17)</f>
        <v>13</v>
      </c>
      <c r="C18" s="853">
        <f>SUBTOTAL(9,C15:C17)</f>
        <v>4</v>
      </c>
      <c r="D18" s="851">
        <f>SUBTOTAL(9,D15:D17)</f>
        <v>240</v>
      </c>
    </row>
    <row r="19" spans="1:4" ht="16.5" customHeight="1" thickTop="1" thickBot="1">
      <c r="A19" s="793" t="str">
        <f>Datos!A19</f>
        <v>TOTAL JURISDICCIONES</v>
      </c>
      <c r="B19" s="798">
        <f>SUBTOTAL(9,B8:B18)</f>
        <v>123</v>
      </c>
      <c r="C19" s="799">
        <f>SUBTOTAL(9,C8:C18)</f>
        <v>64</v>
      </c>
      <c r="D19" s="800">
        <f>SUBTOTAL(9,D8:D18)</f>
        <v>2646</v>
      </c>
    </row>
    <row r="20" spans="1:4" ht="7.5" customHeight="1"/>
    <row r="21" spans="1:4" ht="6" customHeight="1"/>
    <row r="22" spans="1:4">
      <c r="A22" s="391" t="str">
        <f>Criterios!A4</f>
        <v>Fecha Informe: 27 feb. 2025</v>
      </c>
    </row>
    <row r="27" spans="1:4">
      <c r="A27" s="414"/>
    </row>
  </sheetData>
  <sheetProtection algorithmName="SHA-512" hashValue="lz+jtc9KCjdqy4HKLQqf/zmaYbaZP3DKuoOFrKNxMpKWysvVfgjRHCKlV7VxWFvHo6XR7JJWf574OhO4tB6vew==" saltValue="lnt1kf57GVUhAQLTyFtO/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CADIZ</v>
      </c>
    </row>
    <row r="4" spans="1:11" ht="10.5" customHeight="1" thickBot="1">
      <c r="B4" s="391" t="str">
        <f>Criterios!A11 &amp;"  "&amp;Criterios!B11</f>
        <v>Resumenes por Partidos Judiciales  PUERTO REAL</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-9.0909090909090912E-2</v>
      </c>
      <c r="C10" s="456">
        <f>IF(ISNUMBER((Datos!J10-Datos!T10)/Datos!T10),(Datos!J10-Datos!T10)/Datos!T10," - ")</f>
        <v>-1</v>
      </c>
      <c r="D10" s="456">
        <f>IF(ISNUMBER((Datos!K10-Datos!U10)/Datos!U10),(Datos!K10-Datos!U10)/Datos!U10," - ")</f>
        <v>0</v>
      </c>
      <c r="E10" s="456">
        <f>IF(ISNUMBER((Datos!L10-Datos!V10)/Datos!V10),(Datos!L10-Datos!V10)/Datos!V10," - ")</f>
        <v>-0.4</v>
      </c>
      <c r="F10" s="456">
        <f>IF(ISNUMBER((Datos!M10-Datos!W10)/Datos!W10),(Datos!M10-Datos!W10)/Datos!W10," - ")</f>
        <v>0.33333333333333331</v>
      </c>
      <c r="G10" s="457" t="str">
        <f>IF(ISNUMBER((Datos!N10-Datos!X10)/Datos!X10),(Datos!N10-Datos!X10)/Datos!X10," - ")</f>
        <v xml:space="preserve"> - </v>
      </c>
      <c r="H10" s="455" t="str">
        <f>IF(ISNUMBER(((NºAsuntos!G10/NºAsuntos!E10)-Datos!BD10)/Datos!BD10),((NºAsuntos!G10/NºAsuntos!E10)-Datos!BD10)/Datos!BD10," - ")</f>
        <v xml:space="preserve"> - </v>
      </c>
      <c r="I10" s="456">
        <f>IF(ISNUMBER(((NºAsuntos!I10/NºAsuntos!G10)-Datos!BE10)/Datos!BE10),((NºAsuntos!I10/NºAsuntos!G10)-Datos!BE10)/Datos!BE10," - ")</f>
        <v>-0.4</v>
      </c>
      <c r="J10" s="461">
        <f>IF(ISNUMBER((('Resol  Asuntos'!D10/NºAsuntos!G10)-Datos!BF10)/Datos!BF10),(('Resol  Asuntos'!D10/NºAsuntos!G10)-Datos!BF10)/Datos!BF10," - ")</f>
        <v>0.33333333333333331</v>
      </c>
      <c r="K10" s="462">
        <f>IF(ISNUMBER((((NºAsuntos!C10+NºAsuntos!E10)/NºAsuntos!G10)-Datos!BG10)/Datos!BG10),(((NºAsuntos!C10+NºAsuntos!E10)/NºAsuntos!G10)-Datos!BG10)/Datos!BG10," - ")</f>
        <v>-0.2857142857142857</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0.42839143217135656</v>
      </c>
      <c r="C12" s="456">
        <f>IF(ISNUMBER(
   IF(J_V="SI",(Datos!J12-Datos!T12)/Datos!T12,(Datos!J12+Datos!Z12-(Datos!T12+Datos!AH12))/(Datos!T12+Datos!AH12))
     ),IF(J_V="SI",(Datos!J12-Datos!T12)/Datos!T12,(Datos!J12+Datos!Z12-(Datos!T12+Datos!AH12))/(Datos!T12+Datos!AH12))," - ")</f>
        <v>2.7164685908319185E-2</v>
      </c>
      <c r="D12" s="456">
        <f>IF(ISNUMBER(
   IF(J_V="SI",(Datos!K12-Datos!U12)/Datos!U12,(Datos!K12+Datos!AA12-(Datos!U12+Datos!AI12))/(Datos!U12+Datos!AI12))
     ),IF(J_V="SI",(Datos!K12-Datos!U12)/Datos!U12,(Datos!K12+Datos!AA12-(Datos!U12+Datos!AI12))/(Datos!U12+Datos!AI12))," - ")</f>
        <v>-0.10022271714922049</v>
      </c>
      <c r="E12" s="456">
        <f>IF(ISNUMBER(
   IF(J_V="SI",(Datos!L12-Datos!V12)/Datos!V12,(Datos!L12+Datos!AB12-(Datos!V12+Datos!AJ12))/(Datos!V12+Datos!AJ12))
     ),IF(J_V="SI",(Datos!L12-Datos!V12)/Datos!V12,(Datos!L12+Datos!AB12-(Datos!V12+Datos!AJ12))/(Datos!V12+Datos!AJ12))," - ")</f>
        <v>0.42879809599365332</v>
      </c>
      <c r="F12" s="456">
        <f>IF(ISNUMBER((Datos!M12-Datos!W12)/Datos!W12),(Datos!M12-Datos!W12)/Datos!W12," - ")</f>
        <v>1.6142857142857143</v>
      </c>
      <c r="G12" s="457">
        <f>IF(ISNUMBER((Datos!N12-Datos!X12)/Datos!X12),(Datos!N12-Datos!X12)/Datos!X12," - ")</f>
        <v>-0.2640449438202247</v>
      </c>
      <c r="H12" s="455">
        <f>IF(ISNUMBER(((NºAsuntos!G12/NºAsuntos!E12)-Datos!BD12)/Datos!BD12),((NºAsuntos!G12/NºAsuntos!E12)-Datos!BD12)/Datos!BD12," - ")</f>
        <v>-0.12401848000147243</v>
      </c>
      <c r="I12" s="456">
        <f>IF(ISNUMBER(((NºAsuntos!I12/NºAsuntos!G12)-Datos!BE12)/Datos!BE12),((NºAsuntos!I12/NºAsuntos!G12)-Datos!BE12)/Datos!BE12," - ")</f>
        <v>0.5879463987652237</v>
      </c>
      <c r="J12" s="461">
        <f>IF(ISNUMBER((('Resol  Asuntos'!D12/NºAsuntos!G12)-Datos!BF12)/Datos!BF12),(('Resol  Asuntos'!D12/NºAsuntos!G12)-Datos!BF12)/Datos!BF12," - ")</f>
        <v>0.14260485037267773</v>
      </c>
      <c r="K12" s="462">
        <f>IF(ISNUMBER((((NºAsuntos!C12+NºAsuntos!E12)/NºAsuntos!G12)-Datos!BG12)/Datos!BG12),(((NºAsuntos!C12+NºAsuntos!E12)/NºAsuntos!G12)-Datos!BG12)/Datos!BG12," - ")</f>
        <v>0.4990615728239492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0.42600334448160537</v>
      </c>
      <c r="C13" s="855">
        <f>IF(ISNUMBER(
   IF(J_V="SI",(Datos!J13-Datos!T13)/Datos!T13,(Datos!J13+Datos!Z13-(Datos!T13+Datos!AH13))/(Datos!T13+Datos!AH13))
     ),IF(J_V="SI",(Datos!J13-Datos!T13)/Datos!T13,(Datos!J13+Datos!Z13-(Datos!T13+Datos!AH13))/(Datos!T13+Datos!AH13))," - ")</f>
        <v>2.1959459459459461E-2</v>
      </c>
      <c r="D13" s="855">
        <f>IF(ISNUMBER(
   IF(J_V="SI",(Datos!K13-Datos!U13)/Datos!U13,(Datos!K13+Datos!AA13-(Datos!U13+Datos!AI13))/(Datos!U13+Datos!AI13))
     ),IF(J_V="SI",(Datos!K13-Datos!U13)/Datos!U13,(Datos!K13+Datos!AA13-(Datos!U13+Datos!AI13))/(Datos!U13+Datos!AI13))," - ")</f>
        <v>-9.9337748344370855E-2</v>
      </c>
      <c r="E13" s="855">
        <f>IF(ISNUMBER(
   IF(J_V="SI",(Datos!L13-Datos!V13)/Datos!V13,(Datos!L13+Datos!AB13-(Datos!V13+Datos!AJ13))/(Datos!V13+Datos!AJ13))
     ),IF(J_V="SI",(Datos!L13-Datos!V13)/Datos!V13,(Datos!L13+Datos!AB13-(Datos!V13+Datos!AJ13))/(Datos!V13+Datos!AJ13))," - ")</f>
        <v>0.42552350849466614</v>
      </c>
      <c r="F13" s="856">
        <f>IF(ISNUMBER((Datos!M13-Datos!W13)/Datos!W13),(Datos!M13-Datos!W13)/Datos!W13," - ")</f>
        <v>1.5616438356164384</v>
      </c>
      <c r="G13" s="857">
        <f>IF(ISNUMBER((Datos!N13-Datos!X13)/Datos!X13),(Datos!N13-Datos!X13)/Datos!X13," - ")</f>
        <v>-0.2640449438202247</v>
      </c>
      <c r="H13" s="857">
        <f>IF(ISNUMBER(((NºAsuntos!G13/NºAsuntos!E13)-Datos!BD13)/Datos!BD13),((NºAsuntos!G13/NºAsuntos!E13)-Datos!BD13)/Datos!BD13," - ")</f>
        <v>-0.11869082152044234</v>
      </c>
      <c r="I13" s="857">
        <f>IF(ISNUMBER(((NºAsuntos!I13/NºAsuntos!G13)-Datos!BE13)/Datos!BE13),((NºAsuntos!I13/NºAsuntos!G13)-Datos!BE13)/Datos!BE13," - ")</f>
        <v>0.58275036604922503</v>
      </c>
      <c r="J13" s="857">
        <f>IF(ISNUMBER((('Resol  Asuntos'!D13/NºAsuntos!G13)-Datos!BF13)/Datos!BF13),(('Resol  Asuntos'!D13/NºAsuntos!G13)-Datos!BF13)/Datos!BF13," - ")</f>
        <v>0.14709944751381215</v>
      </c>
      <c r="K13" s="857">
        <f>IF(ISNUMBER((((NºAsuntos!C13+NºAsuntos!E13)/NºAsuntos!G13)-Datos!BG13)/Datos!BG13),(((NºAsuntos!C13+NºAsuntos!E13)/NºAsuntos!G13)-Datos!BG13)/Datos!BG13," - ")</f>
        <v>0.49428323608263691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0.24342857142857144</v>
      </c>
      <c r="C16" s="456">
        <f>IF(ISNUMBER(
   IF(D_I="SI",(Datos!J16-Datos!T16)/Datos!T16,(Datos!J16+Datos!AD16-(Datos!T16+Datos!AL16))/(Datos!T16+Datos!AL16))
     ),IF(D_I="SI",(Datos!J16-Datos!T16)/Datos!T16,(Datos!J16+Datos!AD16-(Datos!T16+Datos!AL16))/(Datos!T16+Datos!AL16))," - ")</f>
        <v>-7.5966850828729282E-2</v>
      </c>
      <c r="D16" s="456">
        <f>IF(ISNUMBER(
   IF(D_I="SI",(Datos!K16-Datos!U16)/Datos!U16,(Datos!K16+Datos!AE16-(Datos!U16+Datos!AM16))/(Datos!U16+Datos!AM16))
     ),IF(D_I="SI",(Datos!K16-Datos!U16)/Datos!U16,(Datos!K16+Datos!AE16-(Datos!U16+Datos!AM16))/(Datos!U16+Datos!AM16))," - ")</f>
        <v>-0.49795361527967258</v>
      </c>
      <c r="E16" s="456">
        <f>IF(ISNUMBER(
   IF(D_I="SI",(Datos!L16-Datos!V16)/Datos!V16,(Datos!L16+Datos!AF16-(Datos!V16+Datos!AN16))/(Datos!V16+Datos!AN16))
     ),IF(D_I="SI",(Datos!L16-Datos!V16)/Datos!V16,(Datos!L16+Datos!AF16-(Datos!V16+Datos!AN16))/(Datos!V16+Datos!AN16))," - ")</f>
        <v>0.79907621247113159</v>
      </c>
      <c r="F16" s="456">
        <f>IF(ISNUMBER((Datos!M16-Datos!W16)/Datos!W16),(Datos!M16-Datos!W16)/Datos!W16," - ")</f>
        <v>-8.8235294117647065E-2</v>
      </c>
      <c r="G16" s="457">
        <f>IF(ISNUMBER((Datos!N16-Datos!X16)/Datos!X16),(Datos!N16-Datos!X16)/Datos!X16," - ")</f>
        <v>-0.6441605839416058</v>
      </c>
      <c r="H16" s="455">
        <f>IF(ISNUMBER(((NºAsuntos!G16/NºAsuntos!E16)-Datos!BD16)/Datos!BD16),((NºAsuntos!G16/NºAsuntos!E16)-Datos!BD16)/Datos!BD16," - ")</f>
        <v>-0.45667924882284455</v>
      </c>
      <c r="I16" s="456">
        <f>IF(ISNUMBER(((NºAsuntos!I16/NºAsuntos!G16)-Datos!BE16)/Datos!BE16),((NºAsuntos!I16/NºAsuntos!G16)-Datos!BE16)/Datos!BE16," - ")</f>
        <v>2.583486042775379</v>
      </c>
      <c r="J16" s="461">
        <f>IF(ISNUMBER((('Resol  Asuntos'!D16/NºAsuntos!G16)-Datos!BF16)/Datos!BF16),(('Resol  Asuntos'!D16/NºAsuntos!G16)-Datos!BF16)/Datos!BF16," - ")</f>
        <v>0.81609654731457815</v>
      </c>
      <c r="K16" s="462">
        <f>IF(ISNUMBER((((NºAsuntos!C16+NºAsuntos!E16)/NºAsuntos!G16)-Datos!BG16)/Datos!BG16),(((NºAsuntos!C16+NºAsuntos!E16)/NºAsuntos!G16)-Datos!BG16)/Datos!BG16," - ")</f>
        <v>1.1886658101530847</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-4.7619047619047616E-2</v>
      </c>
      <c r="C17" s="456">
        <f>IF(ISNUMBER(
   IF(D_I="SI",(Datos!J17-Datos!T17)/Datos!T17,(Datos!J17+Datos!AD17-(Datos!T17+Datos!AL17))/(Datos!T17+Datos!AL17))
     ),IF(D_I="SI",(Datos!J17-Datos!T17)/Datos!T17,(Datos!J17+Datos!AD17-(Datos!T17+Datos!AL17))/(Datos!T17+Datos!AL17))," - ")</f>
        <v>-0.88372093023255816</v>
      </c>
      <c r="D17" s="456">
        <f>IF(ISNUMBER(
   IF(D_I="SI",(Datos!K17-Datos!U17)/Datos!U17,(Datos!K17+Datos!AE17-(Datos!U17+Datos!AM17))/(Datos!U17+Datos!AM17))
     ),IF(D_I="SI",(Datos!K17-Datos!U17)/Datos!U17,(Datos!K17+Datos!AE17-(Datos!U17+Datos!AM17))/(Datos!U17+Datos!AM17))," - ")</f>
        <v>-0.56666666666666665</v>
      </c>
      <c r="E17" s="456">
        <f>IF(ISNUMBER(
   IF(D_I="SI",(Datos!L17-Datos!V17)/Datos!V17,(Datos!L17+Datos!AF17-(Datos!V17+Datos!AN17))/(Datos!V17+Datos!AN17))
     ),IF(D_I="SI",(Datos!L17-Datos!V17)/Datos!V17,(Datos!L17+Datos!AF17-(Datos!V17+Datos!AN17))/(Datos!V17+Datos!AN17))," - ")</f>
        <v>-0.41818181818181815</v>
      </c>
      <c r="F17" s="456">
        <f>IF(ISNUMBER((Datos!M17-Datos!W17)/Datos!W17),(Datos!M17-Datos!W17)/Datos!W17," - ")</f>
        <v>-1</v>
      </c>
      <c r="G17" s="457">
        <f>IF(ISNUMBER((Datos!N17-Datos!X17)/Datos!X17),(Datos!N17-Datos!X17)/Datos!X17," - ")</f>
        <v>-0.5</v>
      </c>
      <c r="H17" s="455">
        <f>IF(ISNUMBER(((NºAsuntos!G17/NºAsuntos!E17)-Datos!BD17)/Datos!BD17),((NºAsuntos!G17/NºAsuntos!E17)-Datos!BD17)/Datos!BD17," - ")</f>
        <v>2.726666666666667</v>
      </c>
      <c r="I17" s="456">
        <f>IF(ISNUMBER(((NºAsuntos!I17/NºAsuntos!G17)-Datos!BE17)/Datos!BE17),((NºAsuntos!I17/NºAsuntos!G17)-Datos!BE17)/Datos!BE17," - ")</f>
        <v>0.34265734265734277</v>
      </c>
      <c r="J17" s="461">
        <f>IF(ISNUMBER((('Resol  Asuntos'!D17/NºAsuntos!G17)-Datos!BF17)/Datos!BF17),(('Resol  Asuntos'!D17/NºAsuntos!G17)-Datos!BF17)/Datos!BF17," - ")</f>
        <v>-1</v>
      </c>
      <c r="K17" s="462">
        <f>IF(ISNUMBER((((NºAsuntos!C17+NºAsuntos!E17)/NºAsuntos!G17)-Datos!BG17)/Datos!BG17),(((NºAsuntos!C17+NºAsuntos!E17)/NºAsuntos!G17)-Datos!BG17)/Datos!BG17," - ")</f>
        <v>0.22171945701357465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0.23009814612868049</v>
      </c>
      <c r="C18" s="855">
        <f>IF(ISNUMBER(
   IF(Criterios!B14="SI",(Datos!J18-Datos!T18)/Datos!T18,(Datos!J18+Datos!AD18-(Datos!T18+Datos!AL18))/(Datos!T18+Datos!AL18))
     ),IF(Criterios!B14="SI",(Datos!J18-Datos!T18)/Datos!T18,(Datos!J18+Datos!AD18-(Datos!T18+Datos!AL18))/(Datos!T18+Datos!AL18))," - ")</f>
        <v>-0.121251629726206</v>
      </c>
      <c r="D18" s="855">
        <f>IF(ISNUMBER(
   IF(Criterios!B14="SI",(Datos!K18-Datos!U18)/Datos!U18,(Datos!K18+Datos!AE18-(Datos!U18+Datos!AM18))/(Datos!U18+Datos!AM18))
     ),IF(Criterios!B14="SI",(Datos!K18-Datos!U18)/Datos!U18,(Datos!K18+Datos!AE18-(Datos!U18+Datos!AM18))/(Datos!U18+Datos!AM18))," - ")</f>
        <v>-0.50065530799475755</v>
      </c>
      <c r="E18" s="855">
        <f>IF(ISNUMBER(
   IF(Criterios!B14="SI",(Datos!L18-Datos!V18)/Datos!V18,(Datos!L18+Datos!AF18-(Datos!V18+Datos!AN18))/(Datos!V18+Datos!AN18))
     ),IF(Criterios!B14="SI",(Datos!L18-Datos!V18)/Datos!V18,(Datos!L18+Datos!AF18-(Datos!V18+Datos!AN18))/(Datos!V18+Datos!AN18))," - ")</f>
        <v>0.7263843648208469</v>
      </c>
      <c r="F18" s="856">
        <f>IF(ISNUMBER((Datos!M18-Datos!W18)/Datos!W18),(Datos!M18-Datos!W18)/Datos!W18," - ")</f>
        <v>-0.14678899082568808</v>
      </c>
      <c r="G18" s="857">
        <f>IF(ISNUMBER((Datos!N18-Datos!X18)/Datos!X18),(Datos!N18-Datos!X18)/Datos!X18," - ")</f>
        <v>-0.64107142857142863</v>
      </c>
      <c r="H18" s="857">
        <f>IF(ISNUMBER(((NºAsuntos!G18/NºAsuntos!E18)-Datos!BD18)/Datos!BD18),((NºAsuntos!G18/NºAsuntos!E18)-Datos!BD18)/Datos!BD18," - ")</f>
        <v>-0.43175463090798072</v>
      </c>
      <c r="I18" s="857">
        <f>IF(ISNUMBER(((NºAsuntos!I18/NºAsuntos!G18)-Datos!BE18)/Datos!BE18),((NºAsuntos!I18/NºAsuntos!G18)-Datos!BE18)/Datos!BE18," - ")</f>
        <v>2.4572999222002783</v>
      </c>
      <c r="J18" s="857">
        <f>IF(ISNUMBER((('Resol  Asuntos'!D18/NºAsuntos!G18)-Datos!BF18)/Datos!BF18),(('Resol  Asuntos'!D18/NºAsuntos!G18)-Datos!BF18)/Datos!BF18," - ")</f>
        <v>0.70866141732283483</v>
      </c>
      <c r="K18" s="857">
        <f>IF(ISNUMBER((((NºAsuntos!C18+NºAsuntos!E18)/NºAsuntos!G18)-Datos!BG18)/Datos!BG18),(((NºAsuntos!C18+NºAsuntos!E18)/NºAsuntos!G18)-Datos!BG18)/Datos!BG18," - ")</f>
        <v>1.1429511037961109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0.371713508612874</v>
      </c>
      <c r="C19" s="802">
        <f>IF(ISNUMBER(
   IF(J_V="SI",(Datos!J19-Datos!T19)/Datos!T19,(Datos!J19+Datos!Z19-(Datos!T19+Datos!AH19))/(Datos!T19+Datos!AH19))
     ),IF(J_V="SI",(Datos!J19-Datos!T19)/Datos!T19,(Datos!J19+Datos!Z19-(Datos!T19+Datos!AH19))/(Datos!T19+Datos!AH19))," - ")</f>
        <v>-5.8866813833701251E-2</v>
      </c>
      <c r="D19" s="802">
        <f>IF(ISNUMBER(
   IF(J_V="SI",(Datos!K19-Datos!U19)/Datos!U19,(Datos!K19+Datos!AA19-(Datos!U19+Datos!AI19))/(Datos!U19+Datos!AI19))
     ),IF(J_V="SI",(Datos!K19-Datos!U19)/Datos!U19,(Datos!K19+Datos!AA19-(Datos!U19+Datos!AI19))/(Datos!U19+Datos!AI19))," - ")</f>
        <v>-0.35115131578947367</v>
      </c>
      <c r="E19" s="802">
        <f>IF(ISNUMBER(
   IF(J_V="SI",(Datos!L19-Datos!V19)/Datos!V19,(Datos!L19+Datos!AB19-(Datos!V19+Datos!AJ19))/(Datos!V19+Datos!AJ19))
     ),IF(J_V="SI",(Datos!L19-Datos!V19)/Datos!V19,(Datos!L19+Datos!AB19-(Datos!V19+Datos!AJ19))/(Datos!V19+Datos!AJ19))," - ")</f>
        <v>0.50579374275782152</v>
      </c>
      <c r="F19" s="803">
        <f>IF(ISNUMBER((Datos!M19-Datos!W19)/Datos!W19),(Datos!M19-Datos!W19)/Datos!W19," - ")</f>
        <v>0.53846153846153844</v>
      </c>
      <c r="G19" s="804">
        <f>IF(ISNUMBER((Datos!N19-Datos!X19)/Datos!X19),(Datos!N19-Datos!X19)/Datos!X19," - ")</f>
        <v>-0.55013550135501355</v>
      </c>
      <c r="H19" s="805">
        <f>IF(ISNUMBER((Tasas!B19-Datos!BD19)/Datos!BD19),(Tasas!B19-Datos!BD19)/Datos!BD19," - ")</f>
        <v>-0.31056656619069178</v>
      </c>
      <c r="I19" s="806">
        <f>IF(ISNUMBER((Tasas!C19-Datos!BE19)/Datos!BE19),(Tasas!C19-Datos!BE19)/Datos!BE19," - ")</f>
        <v>1.320716338648303</v>
      </c>
      <c r="J19" s="807">
        <f>IF(ISNUMBER((Tasas!D19-Datos!BF19)/Datos!BF19),(Tasas!D19-Datos!BF19)/Datos!BF19," - ")</f>
        <v>0.48804685109916529</v>
      </c>
      <c r="K19" s="807">
        <f>IF(ISNUMBER((Tasas!E19-Datos!BG19)/Datos!BG19),(Tasas!E19-Datos!BG19)/Datos!BG19," - ")</f>
        <v>0.92087649047583375</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u2LavtYlebhcYstc1339hxW+79O0Uh7Xu8mwCzim2CRoWiGl8EhLcOlaRUZgcCJx2Bg8365CnJuSoEaYHUG44w==" saltValue="B8g18QXSQWdqNcl6kq7zT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CADIZ</v>
      </c>
    </row>
    <row r="4" spans="1:7" ht="11.25" customHeight="1" thickBot="1">
      <c r="B4" s="391" t="str">
        <f>Criterios!A11 &amp;"  "&amp;Criterios!B11</f>
        <v>Resumenes por Partidos Judiciales  PUERTO REAL</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f>IF(ISNUMBER(NºAsuntos!I10/NºAsuntos!G10),NºAsuntos!I10/NºAsuntos!G10," - ")</f>
        <v>1.5</v>
      </c>
      <c r="D10" s="444">
        <f>IF(ISNUMBER('Resol  Asuntos'!D10/NºAsuntos!G10),'Resol  Asuntos'!D10/NºAsuntos!G10," - ")</f>
        <v>1</v>
      </c>
      <c r="E10" s="445">
        <f>IF(ISNUMBER((NºAsuntos!C10+NºAsuntos!E10)/NºAsuntos!G10),(NºAsuntos!C10+NºAsuntos!E10)/NºAsuntos!G10," - ")</f>
        <v>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0.66776859504132235</v>
      </c>
      <c r="C12" s="443">
        <f>IF(ISNUMBER(NºAsuntos!I12/NºAsuntos!G12),NºAsuntos!I12/NºAsuntos!G12," - ")</f>
        <v>8.9158415841584162</v>
      </c>
      <c r="D12" s="444">
        <f>IF(ISNUMBER('Resol  Asuntos'!D12/NºAsuntos!G12),'Resol  Asuntos'!D12/NºAsuntos!G12," - ")</f>
        <v>0.45297029702970298</v>
      </c>
      <c r="E12" s="445">
        <f>IF(ISNUMBER((NºAsuntos!C12+NºAsuntos!E12)/NºAsuntos!G12),(NºAsuntos!C12+NºAsuntos!E12)/NºAsuntos!G12," - ")</f>
        <v>9.9158415841584162</v>
      </c>
      <c r="G12" s="463"/>
    </row>
    <row r="13" spans="1:7" ht="14.25" thickTop="1" thickBot="1">
      <c r="A13" s="848" t="str">
        <f>Datos!A13</f>
        <v>TOTAL</v>
      </c>
      <c r="B13" s="858">
        <f>IF(ISNUMBER(NºAsuntos!G13/NºAsuntos!E13),NºAsuntos!G13/NºAsuntos!E13," - ")</f>
        <v>0.67438016528925615</v>
      </c>
      <c r="C13" s="859">
        <f>IF(ISNUMBER(NºAsuntos!I13/NºAsuntos!G13),NºAsuntos!I13/NºAsuntos!G13," - ")</f>
        <v>8.8431372549019613</v>
      </c>
      <c r="D13" s="860">
        <f>IF(ISNUMBER('Resol  Asuntos'!D13/NºAsuntos!G13),'Resol  Asuntos'!D13/NºAsuntos!G13," - ")</f>
        <v>0.45833333333333331</v>
      </c>
      <c r="E13" s="861">
        <f>IF(ISNUMBER((NºAsuntos!C13+NºAsuntos!E13)/NºAsuntos!G13),(NºAsuntos!C13+NºAsuntos!E13)/NºAsuntos!G13," - ")</f>
        <v>9.8431372549019613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0.55007473841554555</v>
      </c>
      <c r="C16" s="443">
        <f>IF(ISNUMBER(NºAsuntos!I16/NºAsuntos!G16),NºAsuntos!I16/NºAsuntos!G16," - ")</f>
        <v>4.2336956521739131</v>
      </c>
      <c r="D16" s="444">
        <f>IF(ISNUMBER('Resol  Asuntos'!D16/NºAsuntos!G16),'Resol  Asuntos'!D16/NºAsuntos!G16," - ")</f>
        <v>0.25271739130434784</v>
      </c>
      <c r="E16" s="445">
        <f>IF(ISNUMBER((NºAsuntos!C16+NºAsuntos!E16)/NºAsuntos!G16),(NºAsuntos!C16+NºAsuntos!E16)/NºAsuntos!G16," - ")</f>
        <v>4.7744565217391308</v>
      </c>
      <c r="G16" s="463"/>
    </row>
    <row r="17" spans="1:7" ht="13.5" thickBot="1">
      <c r="A17" s="402" t="str">
        <f>Datos!A17</f>
        <v>Jdos. Violencia contra la mujer</v>
      </c>
      <c r="B17" s="442">
        <f>IF(ISNUMBER(NºAsuntos!G17/NºAsuntos!E17),NºAsuntos!G17/NºAsuntos!E17," - ")</f>
        <v>2.6</v>
      </c>
      <c r="C17" s="443">
        <f>IF(ISNUMBER(NºAsuntos!I17/NºAsuntos!G17),NºAsuntos!I17/NºAsuntos!G17," - ")</f>
        <v>2.4615384615384617</v>
      </c>
      <c r="D17" s="444">
        <f>IF(ISNUMBER('Resol  Asuntos'!D17/NºAsuntos!G17),'Resol  Asuntos'!D17/NºAsuntos!G17," - ")</f>
        <v>0</v>
      </c>
      <c r="E17" s="445">
        <f>IF(ISNUMBER((NºAsuntos!C17+NºAsuntos!E17)/NºAsuntos!G17),(NºAsuntos!C17+NºAsuntos!E17)/NºAsuntos!G17," - ")</f>
        <v>3.4615384615384617</v>
      </c>
      <c r="G17" s="463"/>
    </row>
    <row r="18" spans="1:7" ht="14.25" thickTop="1" thickBot="1">
      <c r="A18" s="848" t="str">
        <f>Datos!A18</f>
        <v>TOTAL</v>
      </c>
      <c r="B18" s="858">
        <f>IF(ISNUMBER(NºAsuntos!G18/NºAsuntos!E18),NºAsuntos!G18/NºAsuntos!E18," - ")</f>
        <v>0.56528189910979232</v>
      </c>
      <c r="C18" s="859">
        <f>IF(ISNUMBER(NºAsuntos!I18/NºAsuntos!G18),NºAsuntos!I18/NºAsuntos!G18," - ")</f>
        <v>4.1732283464566926</v>
      </c>
      <c r="D18" s="862">
        <f>IF(ISNUMBER('Resol  Asuntos'!D18/NºAsuntos!G18),'Resol  Asuntos'!D18/NºAsuntos!G18," - ")</f>
        <v>0.24409448818897639</v>
      </c>
      <c r="E18" s="861">
        <f>IF(ISNUMBER((NºAsuntos!C18+NºAsuntos!E18)/NºAsuntos!G18),(NºAsuntos!C18+NºAsuntos!E18)/NºAsuntos!G18," - ")</f>
        <v>4.7296587926509188</v>
      </c>
      <c r="G18" s="463"/>
    </row>
    <row r="19" spans="1:7" ht="15.75" customHeight="1" thickTop="1" thickBot="1">
      <c r="A19" s="793" t="str">
        <f>Datos!A19</f>
        <v>TOTAL JURISDICCIONES</v>
      </c>
      <c r="B19" s="808">
        <f>IF(ISNUMBER(NºAsuntos!G19/NºAsuntos!E19),NºAsuntos!G19/NºAsuntos!E19," - ")</f>
        <v>0.61688819390148553</v>
      </c>
      <c r="C19" s="809">
        <f>IF(ISNUMBER(NºAsuntos!I19/NºAsuntos!G19),NºAsuntos!I19/NºAsuntos!G19," - ")</f>
        <v>6.5880861850443599</v>
      </c>
      <c r="D19" s="810">
        <f>IF(ISNUMBER('Resol  Asuntos'!D19/NºAsuntos!G19),'Resol  Asuntos'!D19/NºAsuntos!G19," - ")</f>
        <v>0.35487959442332068</v>
      </c>
      <c r="E19" s="811">
        <f>IF(ISNUMBER((NºAsuntos!C19+NºAsuntos!E19)/NºAsuntos!G19),(NºAsuntos!C19+NºAsuntos!E19)/NºAsuntos!G19," - ")</f>
        <v>7.3738910012674275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vXxsLcO6GSzCpIFgv4c+h4YSRrKHLbsBuqahWo5I5n2z/QoXjLA2XN7sNlVnMHyoYcyRIzTrldwdo3OlvXBV7g==" saltValue="ETdZAeBsyaGc/IjNzuUdM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CADIZ</v>
      </c>
      <c r="N2" s="262" t="str">
        <f>Criterios!A11 &amp;"  "&amp;Criterios!B11</f>
        <v>Resumenes por Partidos Judiciales  PUERTO REAL</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10</v>
      </c>
      <c r="G10" s="333">
        <f>IF(ISNUMBER(Datos!I10),Datos!I10," - ")</f>
        <v>10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v>
      </c>
      <c r="X10" s="226">
        <f>IF(ISNUMBER(Datos!Q10),Datos!Q10," - ")</f>
        <v>0</v>
      </c>
      <c r="Y10" s="334">
        <f t="shared" ref="Y10:Y12" si="0">SUM(W10:X10)</f>
        <v>4</v>
      </c>
      <c r="Z10" s="335" t="str">
        <f>IF(ISNUMBER(Datos!CC10),Datos!CC10," - ")</f>
        <v xml:space="preserve"> - </v>
      </c>
      <c r="AA10" s="332">
        <f>IF(ISNUMBER(Datos!L10),Datos!L10,"-")</f>
        <v>6</v>
      </c>
      <c r="AB10" s="334">
        <f>IF(ISNUMBER(Datos!R10),Datos!R10," - ")</f>
        <v>1</v>
      </c>
      <c r="AC10" s="334">
        <f t="shared" ref="AC10:AC12" si="1">IF(ISNUMBER(AA10+AB10),AA10+AB10," - ")</f>
        <v>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v>
      </c>
      <c r="AJ10" s="231" t="str">
        <f>IF(ISNUMBER(Datos!BW10),Datos!BW10," - ")</f>
        <v xml:space="preserve"> - </v>
      </c>
      <c r="AK10" s="232" t="str">
        <f>IF(ISNUMBER(Datos!BX10),Datos!BX10," - ")</f>
        <v xml:space="preserve"> - </v>
      </c>
      <c r="AL10" s="243" t="str">
        <f>IF(ISNUMBER(NºAsuntos!G10/NºAsuntos!E10),NºAsuntos!G10/NºAsuntos!E10," - ")</f>
        <v xml:space="preserve"> - </v>
      </c>
      <c r="AM10" s="260">
        <f>IF(ISNUMBER(((NºAsuntos!I10/NºAsuntos!G10)*11)/factor_trimestre),((NºAsuntos!I10/NºAsuntos!G10)*11)/factor_trimestre," - ")</f>
        <v>4.5</v>
      </c>
      <c r="AN10" s="244">
        <f>IF(ISNUMBER('Resol  Asuntos'!D10/NºAsuntos!G10),'Resol  Asuntos'!D10/NºAsuntos!G10," - ")</f>
        <v>1</v>
      </c>
      <c r="AO10" s="245">
        <f>IF(ISNUMBER((NºAsuntos!C10+NºAsuntos!E10)/NºAsuntos!G10),(NºAsuntos!C10+NºAsuntos!E10)/NºAsuntos!G10," - ")</f>
        <v>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110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60</v>
      </c>
      <c r="Y12" s="334">
        <f t="shared" si="0"/>
        <v>60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2405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183</v>
      </c>
      <c r="AJ12" s="229" t="str">
        <f>IF(ISNUMBER(Datos!BW12),Datos!BW12," - ")</f>
        <v xml:space="preserve"> - </v>
      </c>
      <c r="AK12" s="228" t="str">
        <f>IF(ISNUMBER(Datos!BX12),Datos!BX12," - ")</f>
        <v xml:space="preserve"> - </v>
      </c>
      <c r="AL12" s="243">
        <f>IF(ISNUMBER(NºAsuntos!G12/NºAsuntos!E12),NºAsuntos!G12/NºAsuntos!E12," - ")</f>
        <v>0.66776859504132235</v>
      </c>
      <c r="AM12" s="260">
        <f>IF(ISNUMBER(((NºAsuntos!I12/NºAsuntos!G12)*11)/factor_trimestre),((NºAsuntos!I12/NºAsuntos!G12)*11)/factor_trimestre," - ")</f>
        <v>26.747524752475247</v>
      </c>
      <c r="AN12" s="244">
        <f>IF(ISNUMBER('Resol  Asuntos'!D12/NºAsuntos!G12),'Resol  Asuntos'!D12/NºAsuntos!G12," - ")</f>
        <v>0.45297029702970298</v>
      </c>
      <c r="AO12" s="245">
        <f>IF(ISNUMBER((NºAsuntos!C12+NºAsuntos!E12)/NºAsuntos!G12),(NºAsuntos!C12+NºAsuntos!E12)/NºAsuntos!G12," - ")</f>
        <v>9.9158415841584162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10</v>
      </c>
      <c r="G13" s="866">
        <f t="shared" si="3"/>
        <v>10</v>
      </c>
      <c r="H13" s="865">
        <f t="shared" si="3"/>
        <v>0</v>
      </c>
      <c r="I13" s="867">
        <f t="shared" si="3"/>
        <v>0</v>
      </c>
      <c r="J13" s="867">
        <f t="shared" si="3"/>
        <v>0</v>
      </c>
      <c r="K13" s="867">
        <f t="shared" si="3"/>
        <v>0</v>
      </c>
      <c r="L13" s="867">
        <f t="shared" si="3"/>
        <v>110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v>
      </c>
      <c r="X13" s="867">
        <f t="shared" si="4"/>
        <v>60</v>
      </c>
      <c r="Y13" s="868">
        <f t="shared" si="4"/>
        <v>64</v>
      </c>
      <c r="Z13" s="868">
        <f t="shared" si="4"/>
        <v>0</v>
      </c>
      <c r="AA13" s="868">
        <f t="shared" si="4"/>
        <v>6</v>
      </c>
      <c r="AB13" s="868">
        <f t="shared" si="4"/>
        <v>2406</v>
      </c>
      <c r="AC13" s="868">
        <f t="shared" si="4"/>
        <v>7</v>
      </c>
      <c r="AD13" s="868">
        <f t="shared" si="4"/>
        <v>0</v>
      </c>
      <c r="AE13" s="872">
        <f t="shared" si="4"/>
        <v>0</v>
      </c>
      <c r="AF13" s="865">
        <f t="shared" si="4"/>
        <v>0</v>
      </c>
      <c r="AG13" s="873">
        <f t="shared" si="4"/>
        <v>0</v>
      </c>
      <c r="AH13" s="870">
        <f t="shared" si="4"/>
        <v>0</v>
      </c>
      <c r="AI13" s="865">
        <f t="shared" si="4"/>
        <v>187</v>
      </c>
      <c r="AJ13" s="867">
        <f t="shared" si="4"/>
        <v>0</v>
      </c>
      <c r="AK13" s="870">
        <f>SUBTOTAL(9,AK9:AK12)</f>
        <v>0</v>
      </c>
      <c r="AL13" s="874">
        <f>IF(ISNUMBER(NºAsuntos!G13/NºAsuntos!E13),NºAsuntos!G13/NºAsuntos!E13," - ")</f>
        <v>0.67438016528925615</v>
      </c>
      <c r="AM13" s="874">
        <f>IF(ISNUMBER(((NºAsuntos!I13/NºAsuntos!G13)*11)/factor_trimestre),((NºAsuntos!I13/NºAsuntos!G13)*11)/factor_trimestre," - ")</f>
        <v>26.529411764705884</v>
      </c>
      <c r="AN13" s="875">
        <f>IF(ISNUMBER('Resol  Asuntos'!D13/NºAsuntos!G13),'Resol  Asuntos'!D13/NºAsuntos!G13," - ")</f>
        <v>0.45833333333333331</v>
      </c>
      <c r="AO13" s="876">
        <f>IF(ISNUMBER((NºAsuntos!C13+NºAsuntos!E13)/NºAsuntos!G13),(NºAsuntos!C13+NºAsuntos!E13)/NºAsuntos!G13," - ")</f>
        <v>9.8431372549019613</v>
      </c>
      <c r="AP13" s="877" t="str">
        <f t="shared" si="2"/>
        <v xml:space="preserve"> - </v>
      </c>
      <c r="AQ13" s="877">
        <f>IF(ISNUMBER((H13-W13+K13)/(F13)),(H13-W13+K13)/(F13)," - ")</f>
        <v>-0.4</v>
      </c>
      <c r="AR13" s="878">
        <f>IF(ISNUMBER((Datos!P13-Datos!Q13)/(Datos!R13-Datos!P13+Datos!Q13)),(Datos!P13-Datos!Q13)/(Datos!R13-Datos!P13+Datos!Q13)," - ")</f>
        <v>2.1222410865874362E-2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1257</v>
      </c>
      <c r="G16" s="333">
        <f>IF(ISNUMBER(IF(D_I="SI",Datos!I16,Datos!I16+Datos!AC16)),IF(D_I="SI",Datos!I16,Datos!I16+Datos!AC16)," - ")</f>
        <v>1088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368</v>
      </c>
      <c r="X16" s="226">
        <f>IF(ISNUMBER(Datos!Q16),Datos!Q16," - ")</f>
        <v>4</v>
      </c>
      <c r="Y16" s="334">
        <f t="shared" ref="Y16:Y17" si="7">SUM(W16:X16)</f>
        <v>372</v>
      </c>
      <c r="Z16" s="335" t="str">
        <f>IF(ISNUMBER(Datos!CC16),Datos!CC16," - ")</f>
        <v xml:space="preserve"> - </v>
      </c>
      <c r="AA16" s="332">
        <f>IF(ISNUMBER(IF(D_I="SI",Datos!L16,Datos!L16+Datos!AF16)),IF(D_I="SI",Datos!L16,Datos!L16+Datos!AF16)," - ")</f>
        <v>1558</v>
      </c>
      <c r="AB16" s="334">
        <f>IF(ISNUMBER(Datos!R16),Datos!R16," - ")</f>
        <v>233</v>
      </c>
      <c r="AC16" s="334">
        <f t="shared" si="6"/>
        <v>1791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93</v>
      </c>
      <c r="AJ16" s="231" t="str">
        <f>IF(ISNUMBER(Datos!BW16),Datos!BW16," - ")</f>
        <v xml:space="preserve"> - </v>
      </c>
      <c r="AK16" s="232" t="str">
        <f>IF(ISNUMBER(Datos!BX16),Datos!BX16," - ")</f>
        <v xml:space="preserve"> - </v>
      </c>
      <c r="AL16" s="243">
        <f>IF(ISNUMBER(NºAsuntos!G16/NºAsuntos!E16),NºAsuntos!G16/NºAsuntos!E16," - ")</f>
        <v>0.55007473841554555</v>
      </c>
      <c r="AM16" s="260">
        <f>IF(ISNUMBER(((NºAsuntos!I16/NºAsuntos!G16)*11)/factor_trimestre),((NºAsuntos!I16/NºAsuntos!G16)*11)/factor_trimestre," - ")</f>
        <v>12.70108695652174</v>
      </c>
      <c r="AN16" s="244">
        <f>IF(ISNUMBER('Resol  Asuntos'!D16/NºAsuntos!G16),'Resol  Asuntos'!D16/NºAsuntos!G16," - ")</f>
        <v>0.25271739130434784</v>
      </c>
      <c r="AO16" s="245">
        <f>IF(ISNUMBER((NºAsuntos!C16+NºAsuntos!E16)/NºAsuntos!G16),(NºAsuntos!C16+NºAsuntos!E16)/NºAsuntos!G16," - ")</f>
        <v>4.7744565217391308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13</v>
      </c>
      <c r="X17" s="226">
        <f>IF(ISNUMBER(Datos!Q17),Datos!Q17," - ")</f>
        <v>0</v>
      </c>
      <c r="Y17" s="334">
        <f t="shared" si="7"/>
        <v>13</v>
      </c>
      <c r="Z17" s="335" t="str">
        <f>IF(ISNUMBER(Datos!CC17),Datos!CC17," - ")</f>
        <v xml:space="preserve"> - </v>
      </c>
      <c r="AA17" s="332">
        <f>IF(ISNUMBER(Datos!L17),Datos!L17,"-")</f>
        <v>32</v>
      </c>
      <c r="AB17" s="334">
        <f>IF(ISNUMBER(Datos!R17),Datos!R17," - ")</f>
        <v>7</v>
      </c>
      <c r="AC17" s="334">
        <f t="shared" si="6"/>
        <v>39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2.6</v>
      </c>
      <c r="AM17" s="260">
        <f>IF(ISNUMBER(((NºAsuntos!I17/NºAsuntos!G17)*11)/factor_trimestre),((NºAsuntos!I17/NºAsuntos!G17)*11)/factor_trimestre," - ")</f>
        <v>7.3846153846153859</v>
      </c>
      <c r="AN17" s="244">
        <f>IF(ISNUMBER('Resol  Asuntos'!D17/NºAsuntos!G17),'Resol  Asuntos'!D17/NºAsuntos!G17," - ")</f>
        <v>0</v>
      </c>
      <c r="AO17" s="245">
        <f>IF(ISNUMBER((NºAsuntos!C17+NºAsuntos!E17)/NºAsuntos!G17),(NºAsuntos!C17+NºAsuntos!E17)/NºAsuntos!G17," - ")</f>
        <v>3.4615384615384617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1257</v>
      </c>
      <c r="G18" s="866">
        <f>SUBTOTAL(9,G15:G17)</f>
        <v>1128</v>
      </c>
      <c r="H18" s="865">
        <f t="shared" ref="H18:O18" si="10">SUBTOTAL(9,H14:H17)</f>
        <v>0</v>
      </c>
      <c r="I18" s="867">
        <f t="shared" si="10"/>
        <v>0</v>
      </c>
      <c r="J18" s="867">
        <f t="shared" si="10"/>
        <v>0</v>
      </c>
      <c r="K18" s="867">
        <f t="shared" si="10"/>
        <v>0</v>
      </c>
      <c r="L18" s="867">
        <f t="shared" si="10"/>
        <v>13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381</v>
      </c>
      <c r="X18" s="867">
        <f t="shared" si="11"/>
        <v>4</v>
      </c>
      <c r="Y18" s="868">
        <f t="shared" si="11"/>
        <v>385</v>
      </c>
      <c r="Z18" s="868">
        <f t="shared" si="11"/>
        <v>0</v>
      </c>
      <c r="AA18" s="868">
        <f t="shared" si="11"/>
        <v>1590</v>
      </c>
      <c r="AB18" s="868">
        <f t="shared" si="11"/>
        <v>240</v>
      </c>
      <c r="AC18" s="868">
        <f t="shared" si="11"/>
        <v>1830</v>
      </c>
      <c r="AD18" s="868">
        <f t="shared" si="11"/>
        <v>0</v>
      </c>
      <c r="AE18" s="872">
        <f t="shared" si="11"/>
        <v>0</v>
      </c>
      <c r="AF18" s="865">
        <f t="shared" si="11"/>
        <v>0</v>
      </c>
      <c r="AG18" s="873">
        <f t="shared" si="11"/>
        <v>0</v>
      </c>
      <c r="AH18" s="870">
        <f t="shared" si="11"/>
        <v>0</v>
      </c>
      <c r="AI18" s="865">
        <f t="shared" si="11"/>
        <v>93</v>
      </c>
      <c r="AJ18" s="867">
        <f t="shared" si="11"/>
        <v>0</v>
      </c>
      <c r="AK18" s="870">
        <f t="shared" si="11"/>
        <v>0</v>
      </c>
      <c r="AL18" s="874">
        <f>IF(ISNUMBER(NºAsuntos!G18/NºAsuntos!E18),NºAsuntos!G18/NºAsuntos!E18," - ")</f>
        <v>0.56528189910979232</v>
      </c>
      <c r="AM18" s="874">
        <f>IF(ISNUMBER(((NºAsuntos!I18/NºAsuntos!G18)*11)/factor_trimestre),((NºAsuntos!I18/NºAsuntos!G18)*11)/factor_trimestre," - ")</f>
        <v>12.519685039370078</v>
      </c>
      <c r="AN18" s="875">
        <f>IF(ISNUMBER('Resol  Asuntos'!D18/NºAsuntos!G18),'Resol  Asuntos'!D18/NºAsuntos!G18," - ")</f>
        <v>0.24409448818897639</v>
      </c>
      <c r="AO18" s="876">
        <f>IF(ISNUMBER((NºAsuntos!C18+NºAsuntos!E18)/NºAsuntos!G18),(NºAsuntos!C18+NºAsuntos!E18)/NºAsuntos!G18," - ")</f>
        <v>4.7296587926509188</v>
      </c>
      <c r="AP18" s="877" t="str">
        <f t="shared" si="2"/>
        <v xml:space="preserve"> - </v>
      </c>
      <c r="AQ18" s="877">
        <f>IF(ISNUMBER((H18-W18+K18)/(F18)),(H18-W18+K18)/(F18)," - ")</f>
        <v>-0.30310262529832938</v>
      </c>
      <c r="AR18" s="878">
        <f>IF(ISNUMBER((Datos!P18-Datos!Q18)/(Datos!R18-Datos!P18+Datos!Q18)),(Datos!P18-Datos!Q18)/(Datos!R18-Datos!P18+Datos!Q18)," - ")</f>
        <v>3.896103896103896E-2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1267</v>
      </c>
      <c r="G19" s="821">
        <f t="shared" si="13"/>
        <v>1138</v>
      </c>
      <c r="H19" s="820">
        <f t="shared" si="13"/>
        <v>0</v>
      </c>
      <c r="I19" s="822">
        <f t="shared" si="13"/>
        <v>0</v>
      </c>
      <c r="J19" s="822">
        <f t="shared" si="13"/>
        <v>0</v>
      </c>
      <c r="K19" s="881">
        <f t="shared" si="13"/>
        <v>0</v>
      </c>
      <c r="L19" s="822">
        <f t="shared" si="13"/>
        <v>123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385</v>
      </c>
      <c r="X19" s="821">
        <f t="shared" si="14"/>
        <v>64</v>
      </c>
      <c r="Y19" s="828">
        <f t="shared" si="14"/>
        <v>449</v>
      </c>
      <c r="Z19" s="828">
        <f t="shared" si="14"/>
        <v>0</v>
      </c>
      <c r="AA19" s="828">
        <f t="shared" si="14"/>
        <v>1596</v>
      </c>
      <c r="AB19" s="828">
        <f t="shared" si="14"/>
        <v>2646</v>
      </c>
      <c r="AC19" s="828">
        <f t="shared" si="14"/>
        <v>1837</v>
      </c>
      <c r="AD19" s="828">
        <f t="shared" si="14"/>
        <v>0</v>
      </c>
      <c r="AE19" s="830">
        <f t="shared" si="14"/>
        <v>0</v>
      </c>
      <c r="AF19" s="831">
        <f t="shared" si="14"/>
        <v>0</v>
      </c>
      <c r="AG19" s="832">
        <f t="shared" si="14"/>
        <v>0</v>
      </c>
      <c r="AH19" s="830">
        <f t="shared" si="14"/>
        <v>0</v>
      </c>
      <c r="AI19" s="820">
        <f t="shared" si="14"/>
        <v>280</v>
      </c>
      <c r="AJ19" s="820">
        <f t="shared" si="14"/>
        <v>0</v>
      </c>
      <c r="AK19" s="830">
        <f t="shared" si="14"/>
        <v>0</v>
      </c>
      <c r="AL19" s="884">
        <f>IF(ISNUMBER(NºAsuntos!G19/NºAsuntos!E19),NºAsuntos!G19/NºAsuntos!E19," - ")</f>
        <v>0.61688819390148553</v>
      </c>
      <c r="AM19" s="885">
        <f>IF(ISNUMBER(((NºAsuntos!I19/NºAsuntos!G19)*11)/factor_trimestre),((NºAsuntos!I19/NºAsuntos!G19)*11)/factor_trimestre," - ")</f>
        <v>19.764258555133079</v>
      </c>
      <c r="AN19" s="885">
        <f>IF(ISNUMBER('Resol  Asuntos'!D19/NºAsuntos!G19),'Resol  Asuntos'!D19/NºAsuntos!G19," - ")</f>
        <v>0.35487959442332068</v>
      </c>
      <c r="AO19" s="886">
        <f>IF(ISNUMBER((NºAsuntos!C19+NºAsuntos!E19)/NºAsuntos!G19),(NºAsuntos!C19+NºAsuntos!E19)/NºAsuntos!G19," - ")</f>
        <v>7.3738910012674275</v>
      </c>
      <c r="AP19" s="887" t="str">
        <f t="shared" si="2"/>
        <v xml:space="preserve"> - </v>
      </c>
      <c r="AQ19" s="888">
        <f>IF(OR(ISNUMBER(FIND("01",Criterios!A8,1)),ISNUMBER(FIND("02",Criterios!A8,1)),ISNUMBER(FIND("03",Criterios!A8,1)),ISNUMBER(FIND("04",Criterios!A8,1))),(I19-W19+K19)/(F19-K19),(H19-W19+K19)/(F19-K19))</f>
        <v>-0.30386740331491713</v>
      </c>
      <c r="AR19" s="889">
        <f>IF(ISNUMBER((Datos!P19-Datos!Q19)/(Datos!R19-Datos!P19+Datos!Q19)),(Datos!P19-Datos!Q19)/(Datos!R19-Datos!P19+Datos!Q19)," - ")</f>
        <v>2.2806339389253961E-2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455.2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719.95578567946336</v>
      </c>
      <c r="G21" s="253">
        <f>IF(ISNUMBER(STDEV(G8:G18)),STDEV(G8:G18),"-")</f>
        <v>596.21573276793026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201.37403010318883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81.860043163112664</v>
      </c>
      <c r="AJ21" s="252">
        <f t="shared" si="18"/>
        <v>0</v>
      </c>
      <c r="AK21" s="254">
        <f t="shared" si="18"/>
        <v>0</v>
      </c>
      <c r="AL21" s="249">
        <f t="shared" si="18"/>
        <v>0.88982542912848694</v>
      </c>
      <c r="AM21" s="250">
        <f t="shared" si="18"/>
        <v>9.4930327909332455</v>
      </c>
      <c r="AN21" s="250">
        <f t="shared" si="18"/>
        <v>0.33828873722479796</v>
      </c>
      <c r="AO21" s="251">
        <f t="shared" si="18"/>
        <v>3.2190939954505406</v>
      </c>
      <c r="AP21" s="291" t="str">
        <f t="shared" si="18"/>
        <v>-</v>
      </c>
      <c r="AQ21" s="292">
        <f t="shared" si="18"/>
        <v>6.851679073072503E-2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I/MFxnTQucywUt/2kvQho7c+J3/70TuzbTUsfblKRSZitFnHq6+d2fsUD9x9hCiFFqPSP5LU6kwcQN7acKoa8w==" saltValue="1B5HAB5mrZIMAZGZtq/Pl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CADIZ</v>
      </c>
      <c r="E3" s="263"/>
    </row>
    <row r="4" spans="2:20" ht="17.25" customHeight="1" thickBot="1">
      <c r="D4" s="262" t="str">
        <f>Criterios!A11 &amp;"  "&amp;Criterios!B11</f>
        <v>Resumenes por Partidos Judiciales  PUERTO REAL</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-9.0909090909090912E-2</v>
      </c>
      <c r="E10" s="348">
        <f>IF(ISNUMBER((Datos!J10-Datos!T10)/Datos!T10),(Datos!J10-Datos!T10)/Datos!T10," - ")</f>
        <v>-1</v>
      </c>
      <c r="F10" s="348">
        <f>IF(ISNUMBER((Datos!K10-Datos!U10)/Datos!U10),(Datos!K10-Datos!U10)/Datos!U10," - ")</f>
        <v>0</v>
      </c>
      <c r="G10" s="349">
        <f>IF(ISNUMBER((Datos!L10-Datos!V10)/Datos!V10),(Datos!L10-Datos!V10)/Datos!V10," - ")</f>
        <v>-0.4</v>
      </c>
      <c r="H10" s="230">
        <f>IF(ISNUMBER((Datos!M10-Datos!W10)/Datos!W10),(Datos!M10-Datos!W10)/Datos!W10," - ")</f>
        <v>0.33333333333333331</v>
      </c>
      <c r="I10" s="350">
        <f>IF(ISNUMBER((Tasas!C10-Datos!BE10)/Datos!BE10),(Tasas!C10-Datos!BE10)/Datos!BE10," - ")</f>
        <v>-0.4</v>
      </c>
      <c r="J10" s="349">
        <f>IF(ISNUMBER((Tasas!D10-Datos!BF10)/Datos!BF10),(Tasas!D10-Datos!BF10)/Datos!BF10," - ")</f>
        <v>0.33333333333333331</v>
      </c>
      <c r="K10" s="351">
        <f>IF(ISNUMBER((Tasas!E10-Datos!BG10)/Datos!BG10),(Tasas!E10-Datos!BG10)/Datos!BG10," - ")</f>
        <v>-0.2857142857142857</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1.6142857142857143</v>
      </c>
      <c r="I12" s="350">
        <f>IF(ISNUMBER((Tasas!C12-Datos!BE12)/Datos!BE12),(Tasas!C12-Datos!BE12)/Datos!BE12," - ")</f>
        <v>0.5879463987652237</v>
      </c>
      <c r="J12" s="349">
        <f>IF(ISNUMBER((Tasas!D12-Datos!BF12)/Datos!BF12),(Tasas!D12-Datos!BF12)/Datos!BF12," - ")</f>
        <v>0.14260485037267773</v>
      </c>
      <c r="K12" s="351">
        <f>IF(ISNUMBER((Tasas!E12-Datos!BG12)/Datos!BG12),(Tasas!E12-Datos!BG12)/Datos!BG12," - ")</f>
        <v>0.4990615728239492</v>
      </c>
      <c r="M12" t="e">
        <f>IF(Monitorios="SI",Datos!CE12,0)</f>
        <v>#REF!</v>
      </c>
      <c r="N12" t="e">
        <f>IF(Monitorios="SI",Datos!CF12,0)</f>
        <v>#REF!</v>
      </c>
      <c r="O12" t="e">
        <f>IF(Monitorios="SI",Datos!CG12,0)</f>
        <v>#REF!</v>
      </c>
      <c r="P12" t="e">
        <f>IF(Monitorios="SI",Datos!CH12,0)</f>
        <v>#REF!</v>
      </c>
      <c r="Q12">
        <f>IF(J_V="SI",0,Datos!AG12)</f>
        <v>133</v>
      </c>
      <c r="R12">
        <f>IF(J_V="SI",0,Datos!AH12)</f>
        <v>75</v>
      </c>
      <c r="S12">
        <f>IF(J_V="SI",0,Datos!AI12)</f>
        <v>70</v>
      </c>
      <c r="T12">
        <f>IF(J_V="SI",0,Datos!AJ12)</f>
        <v>138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1.5616438356164384</v>
      </c>
      <c r="I13" s="357">
        <f>IF(ISNUMBER((Tasas!C13-Datos!BE13)/Datos!BE13),(Tasas!C13-Datos!BE13)/Datos!BE13," - ")</f>
        <v>0.58275036604922503</v>
      </c>
      <c r="J13" s="355">
        <f>IF(ISNUMBER((Tasas!D13-Datos!BF13)/Datos!BF13),(Tasas!D13-Datos!BF13)/Datos!BF13," - ")</f>
        <v>0.14709944751381215</v>
      </c>
      <c r="K13" s="358">
        <f>IF(ISNUMBER((Tasas!E13-Datos!BG13)/Datos!BG13),(Tasas!E13-Datos!BG13)/Datos!BG13," - ")</f>
        <v>0.49428323608263691</v>
      </c>
      <c r="M13" t="e">
        <f>IF(Monitorios="SI",Datos!CE13,0)</f>
        <v>#REF!</v>
      </c>
      <c r="N13" t="e">
        <f>IF(Monitorios="SI",Datos!CF13,0)</f>
        <v>#REF!</v>
      </c>
      <c r="O13" t="e">
        <f>IF(Monitorios="SI",Datos!CG13,0)</f>
        <v>#REF!</v>
      </c>
      <c r="P13" t="e">
        <f>IF(Monitorios="SI",Datos!CH13,0)</f>
        <v>#REF!</v>
      </c>
      <c r="Q13">
        <f>IF(J_V="SI",0,Datos!AG13)</f>
        <v>133</v>
      </c>
      <c r="R13">
        <f>IF(J_V="SI",0,Datos!AH13)</f>
        <v>75</v>
      </c>
      <c r="S13">
        <f>IF(J_V="SI",0,Datos!AI13)</f>
        <v>70</v>
      </c>
      <c r="T13">
        <f>IF(J_V="SI",0,Datos!AJ13)</f>
        <v>138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0.24342857142857144</v>
      </c>
      <c r="E16" s="348">
        <f>IF(ISNUMBER(
   IF(D_I="SI",(Datos!J16-Datos!T16)/Datos!T16,(Datos!J16+Datos!AD16-(Datos!T16+Datos!AL16))/(Datos!T16+Datos!AL16))
     ),IF(D_I="SI",(Datos!J16-Datos!T16)/Datos!T16,(Datos!J16+Datos!AD16-(Datos!T16+Datos!AL16))/(Datos!T16+Datos!AL16))," - ")</f>
        <v>-7.5966850828729282E-2</v>
      </c>
      <c r="F16" s="348">
        <f>IF(ISNUMBER(
   IF(D_I="SI",(Datos!K16-Datos!U16)/Datos!U16,(Datos!K16+Datos!AE16-(Datos!U16+Datos!AM16))/(Datos!U16+Datos!AM16))
     ),IF(D_I="SI",(Datos!K16-Datos!U16)/Datos!U16,(Datos!K16+Datos!AE16-(Datos!U16+Datos!AM16))/(Datos!U16+Datos!AM16))," - ")</f>
        <v>-0.49795361527967258</v>
      </c>
      <c r="G16" s="349">
        <f>IF(ISNUMBER(
   IF(D_I="SI",(Datos!L16-Datos!V16)/Datos!V16,(Datos!L16+Datos!AF16-(Datos!V16+Datos!AN16))/(Datos!V16+Datos!AN16))
     ),IF(D_I="SI",(Datos!L16-Datos!V16)/Datos!V16,(Datos!L16+Datos!AF16-(Datos!V16+Datos!AN16))/(Datos!V16+Datos!AN16))," - ")</f>
        <v>0.79907621247113159</v>
      </c>
      <c r="H16" s="230">
        <f>IF(ISNUMBER((Datos!M16-Datos!W16)/Datos!W16),(Datos!M16-Datos!W16)/Datos!W16," - ")</f>
        <v>-8.8235294117647065E-2</v>
      </c>
      <c r="I16" s="350">
        <f>IF(ISNUMBER((Tasas!C16-Datos!BE16)/Datos!BE16),(Tasas!C16-Datos!BE16)/Datos!BE16," - ")</f>
        <v>2.583486042775379</v>
      </c>
      <c r="J16" s="349">
        <f>IF(ISNUMBER((Tasas!D16-Datos!BF16)/Datos!BF16),(Tasas!D16-Datos!BF16)/Datos!BF16," - ")</f>
        <v>0.81609654731457815</v>
      </c>
      <c r="K16" s="351">
        <f>IF(ISNUMBER((Tasas!E16-Datos!BG16)/Datos!BG16),(Tasas!E16-Datos!BG16)/Datos!BG16," - ")</f>
        <v>1.1886658101530847</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-4.7619047619047616E-2</v>
      </c>
      <c r="E17" s="348">
        <f>IF(ISNUMBER(
   IF(D_I="SI",(Datos!J17-Datos!T17)/Datos!T17,(Datos!J17+Datos!AD17-(Datos!T17+Datos!AL17))/(Datos!T17+Datos!AL17))
     ),IF(D_I="SI",(Datos!J17-Datos!T17)/Datos!T17,(Datos!J17+Datos!AD17-(Datos!T17+Datos!AL17))/(Datos!T17+Datos!AL17))," - ")</f>
        <v>-0.88372093023255816</v>
      </c>
      <c r="F17" s="348">
        <f>IF(ISNUMBER(
   IF(D_I="SI",(Datos!K17-Datos!U17)/Datos!U17,(Datos!K17+Datos!AE17-(Datos!U17+Datos!AM17))/(Datos!U17+Datos!AM17))
     ),IF(D_I="SI",(Datos!K17-Datos!U17)/Datos!U17,(Datos!K17+Datos!AE17-(Datos!U17+Datos!AM17))/(Datos!U17+Datos!AM17))," - ")</f>
        <v>-0.56666666666666665</v>
      </c>
      <c r="G17" s="349">
        <f>IF(ISNUMBER(
   IF(D_I="SI",(Datos!L17-Datos!V17)/Datos!V17,(Datos!L17+Datos!AF17-(Datos!V17+Datos!AN17))/(Datos!V17+Datos!AN17))
     ),IF(D_I="SI",(Datos!L17-Datos!V17)/Datos!V17,(Datos!L17+Datos!AF17-(Datos!V17+Datos!AN17))/(Datos!V17+Datos!AN17))," - ")</f>
        <v>-0.41818181818181815</v>
      </c>
      <c r="H17" s="230">
        <f>IF(ISNUMBER((Datos!M17-Datos!W17)/Datos!W17),(Datos!M17-Datos!W17)/Datos!W17," - ")</f>
        <v>-1</v>
      </c>
      <c r="I17" s="350">
        <f>IF(ISNUMBER((Tasas!C17-Datos!BE17)/Datos!BE17),(Tasas!C17-Datos!BE17)/Datos!BE17," - ")</f>
        <v>0.34265734265734277</v>
      </c>
      <c r="J17" s="349">
        <f>IF(ISNUMBER((Tasas!D17-Datos!BF17)/Datos!BF17),(Tasas!D17-Datos!BF17)/Datos!BF17," - ")</f>
        <v>-1</v>
      </c>
      <c r="K17" s="351">
        <f>IF(ISNUMBER((Tasas!E17-Datos!BG17)/Datos!BG17),(Tasas!E17-Datos!BG17)/Datos!BG17," - ")</f>
        <v>0.22171945701357465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0.23009814612868049</v>
      </c>
      <c r="E18" s="354">
        <f>IF(ISNUMBER(
   IF(D_I="SI",(Datos!J18-Datos!T18)/Datos!T18,(Datos!J18+Datos!AD18-(Datos!T18+Datos!AL18))/(Datos!T18+Datos!AL18))
     ),IF(D_I="SI",(Datos!J18-Datos!T18)/Datos!T18,(Datos!J18+Datos!AD18-(Datos!T18+Datos!AL18))/(Datos!T18+Datos!AL18))," - ")</f>
        <v>-0.121251629726206</v>
      </c>
      <c r="F18" s="354">
        <f>IF(ISNUMBER(
   IF(D_I="SI",(Datos!K18-Datos!U18)/Datos!U18,(Datos!K18+Datos!AE18-(Datos!U18+Datos!AM18))/(Datos!U18+Datos!AM18))
     ),IF(D_I="SI",(Datos!K18-Datos!U18)/Datos!U18,(Datos!K18+Datos!AE18-(Datos!U18+Datos!AM18))/(Datos!U18+Datos!AM18))," - ")</f>
        <v>-0.50065530799475755</v>
      </c>
      <c r="G18" s="355">
        <f>IF(ISNUMBER(
   IF(D_I="SI",(Datos!L18-Datos!V18)/Datos!V18,(Datos!L18+Datos!AF18-(Datos!V18+Datos!AN18))/(Datos!V18+Datos!AN18))
     ),IF(D_I="SI",(Datos!L18-Datos!V18)/Datos!V18,(Datos!L18+Datos!AF18-(Datos!V18+Datos!AN18))/(Datos!V18+Datos!AN18))," - ")</f>
        <v>0.7263843648208469</v>
      </c>
      <c r="H18" s="356">
        <f>IF(ISNUMBER((Datos!M18-Datos!W18)/Datos!W18),(Datos!M18-Datos!W18)/Datos!W18," - ")</f>
        <v>-0.14678899082568808</v>
      </c>
      <c r="I18" s="357">
        <f>IF(ISNUMBER((Tasas!C18-Datos!BE18)/Datos!BE18),(Tasas!C18-Datos!BE18)/Datos!BE18," - ")</f>
        <v>2.4572999222002783</v>
      </c>
      <c r="J18" s="355">
        <f>IF(ISNUMBER((Tasas!D18-Datos!BF18)/Datos!BF18),(Tasas!D18-Datos!BF18)/Datos!BF18," - ")</f>
        <v>0.70866141732283483</v>
      </c>
      <c r="K18" s="358">
        <f>IF(ISNUMBER((Tasas!E18-Datos!BG18)/Datos!BG18),(Tasas!E18-Datos!BG18)/Datos!BG18," - ")</f>
        <v>1.1429511037961109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0.371713508612874</v>
      </c>
      <c r="E19" s="363">
        <f>IF(ISNUMBER(
   IF(J_V="SI",(Datos!J19-Datos!T19)/Datos!T19,(Datos!J19+Datos!Z19-(Datos!T19+Datos!AH19))/(Datos!T19+Datos!AH19))
     ),IF(J_V="SI",(Datos!J19-Datos!T19)/Datos!T19,(Datos!J19+Datos!Z19-(Datos!T19+Datos!AH19))/(Datos!T19+Datos!AH19))," - ")</f>
        <v>-5.8866813833701251E-2</v>
      </c>
      <c r="F19" s="363">
        <f>IF(ISNUMBER(
   IF(J_V="SI",(Datos!K19-Datos!U19)/Datos!U19,(Datos!K19+Datos!AA19-(Datos!U19+Datos!AI19))/(Datos!U19+Datos!AI19))
     ),IF(J_V="SI",(Datos!K19-Datos!U19)/Datos!U19,(Datos!K19+Datos!AA19-(Datos!U19+Datos!AI19))/(Datos!U19+Datos!AI19))," - ")</f>
        <v>-0.35115131578947367</v>
      </c>
      <c r="G19" s="364">
        <f>IF(ISNUMBER(
   IF(J_V="SI",(Datos!L19-Datos!V19)/Datos!V19,(Datos!L19+Datos!AB19-(Datos!V19+Datos!AJ19))/(Datos!V19+Datos!AJ19))
     ),IF(J_V="SI",(Datos!L19-Datos!V19)/Datos!V19,(Datos!L19+Datos!AB19-(Datos!V19+Datos!AJ19))/(Datos!V19+Datos!AJ19))," - ")</f>
        <v>0.50579374275782152</v>
      </c>
      <c r="H19" s="365">
        <f>IF(ISNUMBER((Datos!M19-Datos!W19)/Datos!W19),(Datos!M19-Datos!W19)/Datos!W19," - ")</f>
        <v>0.53846153846153844</v>
      </c>
      <c r="I19" s="362">
        <f>IF(ISNUMBER((Tasas!C19-Datos!BE19)/Datos!BE19),(Tasas!C19-Datos!BE19)/Datos!BE19," - ")</f>
        <v>1.320716338648303</v>
      </c>
      <c r="J19" s="363">
        <f>IF(ISNUMBER((Tasas!D19-Datos!BF19)/Datos!BF19),(Tasas!D19-Datos!BF19)/Datos!BF19," - ")</f>
        <v>0.48804685109916529</v>
      </c>
      <c r="K19" s="364">
        <f>IF(ISNUMBER((Tasas!E19-Datos!BG19)/Datos!BG19),(Tasas!E19-Datos!BG19)/Datos!BG19," - ")</f>
        <v>0.92087649047583375</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0.17765007811030453</v>
      </c>
      <c r="E21" s="278">
        <f t="shared" si="1"/>
        <v>0.48950941251591995</v>
      </c>
      <c r="F21" s="278">
        <f t="shared" si="1"/>
        <v>0.26280711138790919</v>
      </c>
      <c r="G21" s="279">
        <f t="shared" si="1"/>
        <v>0.67724251222122378</v>
      </c>
      <c r="H21" s="285">
        <f t="shared" si="1"/>
        <v>1.031801003657089</v>
      </c>
      <c r="I21" s="277">
        <f t="shared" si="1"/>
        <v>1.2135218207409315</v>
      </c>
      <c r="J21" s="278">
        <f t="shared" si="1"/>
        <v>0.64834059349733264</v>
      </c>
      <c r="K21" s="279">
        <f t="shared" si="1"/>
        <v>0.56055627039359146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MDg1PGHHPm3VOF5Y37JkqV/N5PDR1vJNeMj9UgDyl4RTDHWWF8KKpwz6SMAlA2xyqR902F1DIbucWR8ff3vR8Q==" saltValue="j40e/ys7H24ZracHDQCSk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2025-02-27T18:46:57Z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